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<sst xmlns="http://schemas.openxmlformats.org/spreadsheetml/2006/main" count="1376" uniqueCount="683">
  <si>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</si>
  <si>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</si>
  <si>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</si>
  <si>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</si>
  <si>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</si>
  <si>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</si>
  <si>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</si>
  <si>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</si>
  <si>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</si>
  <si>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</si>
  <si>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</si>
  <si>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</si>
  <si>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</si>
  <si>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</si>
  <si>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</si>
  <si>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</si>
  <si>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</si>
  <si>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</si>
  <si>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</si>
  <si>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</si>
  <si>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</si>
  <si>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</si>
  <si>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</si>
  <si>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</si>
  <si>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</si>
  <si>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</si>
  <si>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</si>
  <si>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</si>
  <si>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</si>
  <si>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</si>
  <si>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</si>
  <si>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</si>
  <si>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</si>
  <si>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</si>
  <si>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</si>
  <si>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</si>
  <si>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</si>
  <si>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</si>
  <si>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</si>
  <si>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</si>
  <si>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</si>
  <si>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</si>
  <si>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</si>
  <si>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</si>
  <si>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</si>
  <si>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</si>
  <si>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</si>
  <si>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</si>
  <si>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</si>
  <si>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</si>
  <si>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</si>
  <si>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</si>
  <si>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</si>
  <si>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</si>
  <si>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</si>
  <si>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</si>
  <si>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</si>
  <si>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</si>
  <si>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</si>
  <si>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</si>
  <si>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</si>
  <si>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</si>
  <si>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</si>
  <si>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</si>
  <si>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</si>
  <si>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</si>
  <si>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</si>
  <si>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</si>
  <si>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</si>
  <si>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</si>
  <si>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</si>
  <si>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</si>
  <si>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</si>
  <si>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</si>
  <si>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</si>
  <si>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</si>
  <si>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</si>
  <si>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</si>
  <si>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</si>
  <si>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</si>
  <si>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</si>
  <si>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</si>
  <si>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</si>
  <si>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</si>
  <si>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</si>
  <si>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</si>
  <si>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</si>
  <si>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</si>
  <si>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</si>
  <si>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</si>
  <si>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</si>
  <si>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</si>
  <si>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</si>
  <si>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</si>
  <si>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</si>
  <si>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</si>
  <si>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</si>
  <si>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</si>
  <si>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</si>
  <si>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</si>
  <si>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</si>
  <si>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</si>
  <si>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</si>
  <si>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</si>
  <si>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</si>
  <si>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</si>
  <si>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</si>
  <si>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</si>
  <si>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</si>
  <si>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</si>
  <si>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</si>
  <si>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</si>
  <si>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</si>
  <si>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</si>
  <si>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</si>
  <si>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</si>
  <si>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</si>
  <si>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</si>
  <si>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</si>
  <si>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</si>
  <si>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</si>
  <si>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</si>
  <si>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</si>
  <si>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</si>
  <si>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</si>
  <si>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</si>
  <si>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</si>
  <si>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</si>
  <si>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</si>
  <si>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</si>
  <si>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</si>
  <si>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</si>
  <si>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</si>
  <si>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</si>
  <si>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</si>
  <si>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</si>
  <si>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</si>
  <si>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</si>
  <si>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</si>
  <si>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</si>
  <si>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</si>
  <si>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</si>
  <si>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</si>
  <si>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</si>
  <si>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</si>
  <si>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</si>
  <si>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</si>
  <si>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</si>
  <si>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</si>
  <si>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</si>
  <si>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</si>
  <si>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</si>
  <si>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</si>
  <si>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</si>
  <si>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</si>
  <si>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</si>
  <si>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</si>
  <si>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</si>
  <si>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</si>
  <si>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</si>
  <si>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</si>
  <si>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</si>
  <si>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</si>
  <si>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</si>
  <si>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</si>
  <si>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</si>
  <si>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</si>
  <si>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</si>
  <si>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</si>
  <si>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</si>
  <si>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</si>
  <si>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</si>
  <si>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</si>
  <si>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</si>
  <si>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</si>
  <si>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</si>
  <si>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</si>
  <si>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</si>
  <si>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</si>
  <si>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</si>
  <si>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</si>
  <si>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</si>
  <si>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</si>
  <si>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</si>
  <si>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</si>
  <si>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</si>
  <si>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</si>
  <si>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</si>
  <si>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</si>
  <si>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</si>
  <si>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</si>
  <si>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</si>
  <si>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</si>
  <si>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</si>
  <si>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</si>
  <si>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</si>
  <si>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</si>
  <si>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</si>
  <si>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</si>
  <si>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</si>
  <si>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</si>
  <si>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</si>
  <si>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</si>
  <si>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</si>
  <si>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</si>
  <si>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</si>
  <si>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</si>
  <si>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</si>
  <si>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</si>
  <si>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</si>
  <si>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</si>
  <si>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</si>
  <si>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</si>
  <si>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</si>
  <si>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</si>
  <si>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</si>
  <si>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</si>
  <si>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</si>
  <si>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</si>
  <si>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</si>
  <si>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</si>
  <si>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</si>
  <si>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</si>
  <si>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</si>
  <si>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</si>
  <si>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</si>
  <si>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</si>
  <si>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</si>
  <si>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</si>
  <si>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</si>
  <si>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</si>
  <si>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</si>
  <si>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</si>
  <si>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</si>
  <si>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</si>
  <si>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</si>
  <si>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</si>
  <si>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</si>
  <si>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</si>
  <si>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</si>
  <si>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</si>
  <si>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</si>
  <si>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</si>
  <si>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</si>
  <si>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</si>
  <si>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</si>
  <si>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</si>
  <si>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</si>
  <si>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</si>
  <si>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</si>
  <si>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</si>
  <si>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</si>
  <si>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</si>
  <si>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</si>
  <si>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</si>
  <si>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</si>
  <si>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</si>
  <si>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</si>
  <si>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</si>
  <si>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</si>
  <si>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</si>
  <si>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</si>
  <si>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</si>
  <si>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</si>
  <si>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</si>
  <si>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</si>
  <si>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</si>
  <si>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</si>
  <si>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</si>
  <si>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</si>
  <si>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</si>
  <si>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</si>
  <si>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</si>
  <si>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</si>
  <si>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</si>
  <si>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</si>
  <si>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</si>
  <si>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</si>
  <si>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</si>
  <si>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</si>
  <si>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</si>
  <si>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</si>
  <si>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</si>
  <si>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</si>
  <si>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</si>
  <si>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</si>
  <si>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</si>
  <si>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</si>
  <si>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</si>
  <si>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</si>
  <si>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</si>
  <si>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</si>
  <si>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</si>
  <si>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</si>
  <si>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</si>
  <si>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</si>
  <si>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</si>
  <si>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</si>
  <si>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</si>
  <si>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</si>
  <si>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</si>
  <si>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</si>
  <si>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</si>
  <si>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</si>
  <si>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</si>
  <si>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</si>
  <si>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</si>
  <si>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</si>
  <si>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</si>
  <si>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</si>
  <si>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</si>
  <si>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</si>
  <si>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</si>
  <si>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</si>
  <si>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</si>
  <si>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</si>
  <si>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</si>
  <si>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</si>
  <si>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</si>
  <si>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</si>
  <si>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</si>
  <si>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</si>
  <si>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</si>
  <si>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</si>
  <si>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</si>
  <si>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</si>
  <si>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</si>
  <si>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</si>
  <si>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</si>
  <si>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</si>
  <si>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</si>
  <si>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</si>
  <si>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</si>
  <si>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</si>
  <si>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</si>
  <si>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</si>
  <si>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</si>
  <si>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</si>
  <si>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</si>
  <si>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</si>
  <si>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</si>
  <si>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</si>
  <si>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</si>
  <si>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</si>
  <si>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</si>
  <si>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</si>
  <si>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</si>
  <si>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</si>
  <si>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</si>
  <si>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</si>
  <si>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</si>
  <si>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</si>
  <si>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</si>
  <si>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</si>
  <si>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</si>
  <si>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</si>
  <si>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</si>
  <si>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</si>
  <si>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</si>
  <si>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</si>
  <si>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</si>
  <si>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</si>
  <si>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</si>
  <si>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</si>
  <si>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</si>
  <si>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</si>
  <si>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</si>
  <si>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</si>
  <si>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</si>
  <si>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</si>
  <si>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</si>
  <si>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</si>
  <si>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</si>
  <si>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</si>
  <si>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</si>
  <si>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</si>
  <si>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</si>
  <si>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</si>
  <si>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</si>
  <si>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</si>
  <si>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</si>
  <si>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</si>
  <si>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</si>
  <si>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</si>
  <si>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</si>
  <si>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</si>
  <si>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</si>
  <si>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</si>
  <si>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</si>
  <si>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</si>
  <si>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</si>
  <si>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</si>
  <si>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</si>
  <si>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</si>
  <si>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</si>
  <si>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</si>
  <si>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</si>
  <si>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</si>
  <si>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</si>
  <si>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</si>
  <si>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</si>
  <si>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</si>
  <si>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</si>
  <si>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</si>
  <si>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</si>
  <si>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</si>
  <si>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</si>
  <si>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</si>
  <si>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</si>
  <si>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</si>
  <si>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</si>
  <si>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</si>
  <si>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</si>
  <si>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</si>
  <si>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</si>
  <si>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</si>
  <si>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</si>
  <si>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</si>
  <si>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</si>
  <si>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</si>
  <si>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</si>
  <si>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</si>
  <si>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</si>
  <si>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</si>
  <si>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</si>
  <si>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</si>
  <si>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</si>
  <si>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</si>
  <si>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</si>
  <si>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</si>
  <si>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</si>
  <si>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</si>
  <si>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</si>
  <si>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</si>
  <si>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</si>
  <si>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</si>
  <si>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</si>
  <si>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</si>
  <si>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</si>
  <si>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</si>
  <si>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</si>
  <si>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</si>
  <si>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</si>
  <si>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</si>
  <si>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</si>
  <si>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</si>
  <si>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</si>
  <si>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</si>
  <si>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</si>
  <si>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</si>
  <si>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</si>
  <si>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</si>
  <si>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</si>
  <si>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</si>
  <si>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</si>
  <si>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</si>
  <si>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</si>
  <si>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</si>
  <si>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</si>
  <si>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</si>
  <si>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</si>
  <si>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</si>
  <si>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</si>
  <si>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</si>
  <si>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</si>
  <si>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</si>
  <si>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</si>
  <si>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</si>
  <si>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</si>
  <si>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</si>
  <si>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</si>
  <si>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</si>
  <si>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</si>
  <si>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</si>
  <si>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</si>
  <si>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</si>
  <si>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</si>
  <si>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</si>
  <si>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</si>
  <si>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</si>
  <si>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</si>
  <si>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</si>
  <si>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</si>
  <si>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</si>
  <si>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</si>
  <si>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</si>
  <si>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</si>
  <si>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</si>
  <si>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</si>
  <si>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</si>
  <si>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</si>
  <si>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</si>
  <si>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</si>
  <si>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</si>
  <si>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</si>
  <si>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</si>
  <si>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</si>
  <si>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</si>
  <si>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</si>
  <si>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</si>
  <si>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</si>
  <si>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</si>
  <si>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</si>
  <si>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</si>
  <si>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</si>
  <si>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</si>
  <si>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</si>
  <si>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</si>
  <si>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</si>
  <si>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</si>
  <si>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</si>
  <si>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</si>
  <si>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</si>
  <si>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</si>
  <si>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</si>
  <si>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</si>
  <si>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</si>
  <si>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</si>
  <si>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</si>
  <si>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</si>
  <si>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</si>
  <si>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</si>
  <si>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</si>
  <si>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</si>
  <si>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</si>
  <si>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</si>
  <si>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</si>
  <si>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</si>
  <si>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</si>
  <si>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</si>
  <si>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</si>
  <si>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</si>
  <si>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</si>
  <si>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</si>
  <si>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</si>
  <si>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</si>
  <si>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</si>
  <si>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</si>
  <si>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</si>
  <si>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</si>
  <si>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</si>
  <si>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</si>
  <si>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</si>
  <si>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</si>
  <si>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</si>
  <si>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</si>
  <si>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</si>
  <si>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</si>
  <si>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</si>
  <si>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</si>
  <si>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</si>
  <si>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</si>
  <si>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</si>
  <si>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</si>
  <si>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</si>
  <si>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</si>
  <si>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</si>
  <si>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</si>
  <si>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</si>
  <si>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</si>
  <si>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</si>
  <si>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</si>
  <si>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</si>
  <si>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</si>
  <si>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</si>
  <si>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</si>
  <si>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</si>
  <si>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</si>
  <si>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</si>
  <si>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</si>
  <si>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</si>
  <si>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</si>
  <si>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</si>
  <si>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</si>
  <si>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</si>
  <si>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</si>
  <si>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</si>
  <si>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</si>
  <si>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</si>
  <si>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</si>
  <si>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</si>
  <si>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</si>
  <si>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</si>
  <si>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</si>
  <si>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</si>
  <si>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</si>
  <si>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</si>
  <si>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</si>
  <si>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</si>
  <si>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</si>
  <si>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</si>
  <si>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</si>
  <si>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</si>
  <si>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</si>
  <si>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</si>
  <si>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</si>
  <si>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</si>
  <si>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</si>
  <si>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</si>
  <si>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</si>
  <si>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</si>
  <si>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</si>
  <si>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</si>
  <si>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</si>
  <si>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</si>
  <si>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</si>
  <si>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</si>
  <si>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</si>
  <si>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</si>
  <si>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</si>
  <si>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</si>
  <si>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</si>
  <si>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</si>
  <si>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</si>
  <si>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</si>
  <si>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</si>
  <si>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</si>
  <si>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</si>
  <si>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</si>
  <si>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</si>
  <si>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</si>
  <si>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</si>
  <si>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</si>
  <si>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</si>
  <si>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</si>
  <si>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</si>
  <si>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</si>
  <si>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</si>
  <si>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</si>
  <si>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</si>
  <si>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</si>
  <si>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</si>
  <si>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</si>
  <si>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</si>
  <si>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</si>
  <si>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</si>
  <si>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</si>
  <si>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</si>
  <si>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</si>
  <si>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</si>
  <si>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</si>
  <si>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</si>
  <si>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</si>
  <si>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</si>
  <si>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</si>
  <si>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</si>
  <si>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</si>
  <si>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</si>
  <si>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</si>
  <si>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</si>
  <si>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</si>
  <si>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</si>
  <si>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</si>
  <si>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</si>
  <si>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</si>
  <si>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</si>
  <si>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</si>
  <si>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</si>
  <si>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</si>
  <si>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Vlotho GmbH</t>
  </si>
  <si>
    <t>9870118800001</t>
  </si>
  <si>
    <t>Weserstr. 9</t>
  </si>
  <si>
    <t>Vlotho</t>
  </si>
  <si>
    <t>Horst Hanke</t>
  </si>
  <si>
    <t>netzbilanzierung@swlws.de</t>
  </si>
  <si>
    <t>Netzgebiet Vlotho</t>
  </si>
  <si>
    <t>05231/98085560</t>
  </si>
  <si>
    <t>Temperaturgebiet Vlotho</t>
  </si>
  <si>
    <t>NCLN007010140000</t>
  </si>
  <si>
    <t>Meteo Group</t>
  </si>
  <si>
    <t>Bückeburg</t>
  </si>
  <si>
    <t>DE_GBA03</t>
  </si>
  <si>
    <t>DE_GBD03</t>
  </si>
  <si>
    <t>DE_GBH03</t>
  </si>
  <si>
    <t>DE_GGA03</t>
  </si>
  <si>
    <t>DE_GGB03</t>
  </si>
  <si>
    <t>DE_GHA03</t>
  </si>
  <si>
    <t>DE_GHD03</t>
  </si>
  <si>
    <t>DE_GKO03</t>
  </si>
  <si>
    <t>DE_GMF03</t>
  </si>
  <si>
    <t>DE_GMK03</t>
  </si>
  <si>
    <t>DE_GPD03</t>
  </si>
  <si>
    <t>DE_GWA03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</si>
</sst>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D23" sqref="D2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658</v>
      </c>
      <c r="D4" s="27">
        <v>42307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2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32602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Netzgebiet Vlotho</v>
      </c>
      <c r="E28" s="38"/>
      <c r="F28" s="11"/>
      <c r="G28" s="2"/>
    </row>
    <row r="29" spans="1:15">
      <c r="B29" s="15"/>
      <c r="C29" s="22" t="s">
        <v>397</v>
      </c>
      <c r="D29" s="45" t="s">
        <v>665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8" zoomScale="80" zoomScaleNormal="80" workbookViewId="0">
      <selection activeCell="D15" sqref="D1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Vlotho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Netzgebiet Vlotho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9" t="str">
        <f>Netzbetreiber!$D$11</f>
        <v>9870118800001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2" t="s">
        <v>257</v>
      </c>
      <c r="I11" s="272" t="s">
        <v>260</v>
      </c>
      <c r="J11" s="27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619</v>
      </c>
      <c r="D13" s="33" t="s">
        <v>621</v>
      </c>
      <c r="E13" s="15"/>
      <c r="H13" s="272" t="s">
        <v>620</v>
      </c>
      <c r="I13" s="272" t="s">
        <v>621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370</v>
      </c>
      <c r="D18" s="49" t="s">
        <v>136</v>
      </c>
      <c r="E18" s="15"/>
      <c r="H18" s="270" t="s">
        <v>258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1" t="s">
        <v>578</v>
      </c>
      <c r="I19" s="271" t="s">
        <v>492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1" t="s">
        <v>493</v>
      </c>
      <c r="I20" s="271" t="s">
        <v>494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617</v>
      </c>
      <c r="D22" s="49" t="s">
        <v>613</v>
      </c>
      <c r="E22" s="15"/>
      <c r="H22" s="268" t="s">
        <v>613</v>
      </c>
      <c r="I22" s="268" t="s">
        <v>614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615</v>
      </c>
      <c r="E23" s="15"/>
      <c r="H23" s="268" t="s">
        <v>616</v>
      </c>
      <c r="I23" s="8" t="s">
        <v>612</v>
      </c>
      <c r="J23" s="8"/>
      <c r="K23" s="8"/>
      <c r="L23" s="269"/>
    </row>
    <row r="24" spans="2:16" ht="15" customHeight="1">
      <c r="B24" s="22"/>
      <c r="C24" s="24" t="s">
        <v>618</v>
      </c>
      <c r="D24" s="24" t="str">
        <f>IF(D22=$H$22,L24,IF(D23=$H$24,M24,N24))</f>
        <v>=&gt;  Q(D) = KW  x  h(T, SLP-Typ)  x  F(WT)</v>
      </c>
      <c r="E24" s="15"/>
      <c r="H24" s="268" t="s">
        <v>615</v>
      </c>
      <c r="I24" s="268" t="s">
        <v>622</v>
      </c>
      <c r="J24" s="8"/>
      <c r="K24" s="8"/>
      <c r="L24" s="271" t="s">
        <v>623</v>
      </c>
      <c r="M24" s="271" t="s">
        <v>625</v>
      </c>
      <c r="N24" s="271" t="s">
        <v>624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581</v>
      </c>
      <c r="D26" s="42" t="s">
        <v>135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626</v>
      </c>
      <c r="D27" s="42" t="s">
        <v>627</v>
      </c>
      <c r="E27" s="15"/>
      <c r="H27" s="298" t="s">
        <v>627</v>
      </c>
      <c r="I27" s="270" t="s">
        <v>628</v>
      </c>
      <c r="J27" s="270" t="s">
        <v>629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630</v>
      </c>
      <c r="I28" s="271" t="s">
        <v>631</v>
      </c>
      <c r="J28" s="271" t="s">
        <v>632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633</v>
      </c>
      <c r="I29" s="271" t="s">
        <v>634</v>
      </c>
      <c r="J29" s="271" t="s">
        <v>635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497</v>
      </c>
      <c r="C31" s="6" t="s">
        <v>580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636</v>
      </c>
      <c r="I32" s="271" t="s">
        <v>637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638</v>
      </c>
      <c r="I33" s="268" t="s">
        <v>633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552</v>
      </c>
      <c r="C35" s="24" t="s">
        <v>499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553</v>
      </c>
      <c r="C37" s="5" t="s">
        <v>367</v>
      </c>
      <c r="D37" s="34">
        <v>1500000</v>
      </c>
      <c r="E37" s="15" t="s">
        <v>510</v>
      </c>
      <c r="I37" s="268"/>
      <c r="J37" s="268"/>
      <c r="K37" s="268"/>
      <c r="L37" s="268"/>
      <c r="M37" s="269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554</v>
      </c>
      <c r="C40" s="5" t="s">
        <v>368</v>
      </c>
      <c r="D40" s="36">
        <v>500</v>
      </c>
      <c r="E40" s="15" t="s">
        <v>544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543</v>
      </c>
    </row>
    <row r="44" spans="2:39" ht="18" customHeight="1">
      <c r="C44" s="3" t="s">
        <v>545</v>
      </c>
    </row>
    <row r="45" spans="2:39" ht="18" customHeight="1">
      <c r="C45" s="3"/>
    </row>
    <row r="46" spans="2:39" ht="15" customHeight="1">
      <c r="B46" s="22" t="s">
        <v>555</v>
      </c>
      <c r="C46" s="60" t="s">
        <v>579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590</v>
      </c>
      <c r="D48" s="45" t="s">
        <v>667</v>
      </c>
    </row>
    <row r="49" spans="3:4" ht="18" customHeight="1">
      <c r="C49" s="22" t="s">
        <v>591</v>
      </c>
      <c r="D49" s="45"/>
    </row>
    <row r="50" spans="3:4" ht="18" customHeight="1">
      <c r="C50" s="22" t="s">
        <v>592</v>
      </c>
      <c r="D50" s="45"/>
    </row>
    <row r="51" spans="3:4" ht="18" customHeight="1">
      <c r="C51" s="22" t="s">
        <v>593</v>
      </c>
      <c r="D51" s="45"/>
    </row>
    <row r="52" spans="3:4" ht="18" customHeight="1">
      <c r="C52" s="22" t="s">
        <v>594</v>
      </c>
      <c r="D52" s="45"/>
    </row>
    <row r="53" spans="3:4" ht="18" customHeight="1">
      <c r="C53" s="22" t="s">
        <v>595</v>
      </c>
      <c r="D53" s="45"/>
    </row>
    <row r="54" spans="3:4" ht="18" customHeight="1">
      <c r="C54" s="22" t="s">
        <v>596</v>
      </c>
      <c r="D54" s="45"/>
    </row>
    <row r="55" spans="3:4" ht="18" customHeight="1">
      <c r="C55" s="22" t="s">
        <v>597</v>
      </c>
      <c r="D55" s="45"/>
    </row>
    <row r="56" spans="3:4" ht="18" customHeight="1">
      <c r="C56" s="22" t="s">
        <v>598</v>
      </c>
      <c r="D56" s="45"/>
    </row>
    <row r="57" spans="3:4" ht="18" customHeight="1">
      <c r="C57" s="22" t="s">
        <v>599</v>
      </c>
      <c r="D57" s="45"/>
    </row>
    <row r="58" spans="3:4" ht="18" customHeight="1">
      <c r="C58" s="22" t="s">
        <v>600</v>
      </c>
      <c r="D58" s="45"/>
    </row>
    <row r="59" spans="3:4" ht="18" customHeight="1">
      <c r="C59" s="22" t="s">
        <v>601</v>
      </c>
      <c r="D59" s="45"/>
    </row>
    <row r="60" spans="3:4" ht="18" customHeight="1">
      <c r="C60" s="22" t="s">
        <v>602</v>
      </c>
      <c r="D60" s="45"/>
    </row>
    <row r="61" spans="3:4" ht="18" customHeight="1">
      <c r="C61" s="22" t="s">
        <v>603</v>
      </c>
      <c r="D61" s="45"/>
    </row>
    <row r="62" spans="3:4" ht="18" customHeight="1">
      <c r="C62" s="22" t="s">
        <v>604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47" sqref="E47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Netzbetreiber!D9</f>
        <v>Stadtwerke Vlotho GmbH</v>
      </c>
      <c r="F4" s="331"/>
      <c r="G4" s="331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Netzgebiet Vlotho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Netzbetreiber!D11</f>
        <v>9870118800001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1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4" t="str">
        <f>INDEX('SLP-Verfahren'!D48:D62,'SLP-Temp-Gebiet #01'!F10)</f>
        <v>Temperaturgebiet Vlotho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588</v>
      </c>
      <c r="D13" s="341"/>
      <c r="E13" s="341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3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669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Meteo 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670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>
        <v>10335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1</v>
      </c>
      <c r="F31" s="280">
        <f>ROUND(F32/$D$32,4)</f>
        <v>0.5</v>
      </c>
      <c r="G31" s="280">
        <f t="shared" ref="G31:N31" si="3">ROUND(G32/$D$32,4)</f>
        <v>0.25</v>
      </c>
      <c r="H31" s="280">
        <f t="shared" si="3"/>
        <v>0.125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361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457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Bückeburg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>
        <f>E25</f>
        <v>10335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536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D-1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3" t="s">
        <v>583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36:N36 E26:N26 E56:N60 E22:F22 I22:N22 F52 F62 G24:N24 G70:N70 E32:N32 E69:N69 F25:N25 E34:N34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Netzbetreiber!$D$9</f>
        <v>Stadtwerke Vlotho GmbH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Netzgebiet Vlotho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Netzbetreiber!$D$11</f>
        <v>9870118800001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2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588</v>
      </c>
      <c r="D13" s="341"/>
      <c r="E13" s="341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3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531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43" t="s">
        <v>583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13" zoomScaleNormal="100" workbookViewId="0">
      <selection activeCell="D21" sqref="D2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Vlotho GmbH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Netzgebiet Vlotho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9870118800001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499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3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639</v>
      </c>
      <c r="M10" s="150" t="s">
        <v>648</v>
      </c>
      <c r="N10" s="151" t="s">
        <v>649</v>
      </c>
      <c r="O10" s="151" t="s">
        <v>650</v>
      </c>
      <c r="P10" s="152" t="s">
        <v>651</v>
      </c>
      <c r="Q10" s="146" t="s">
        <v>640</v>
      </c>
      <c r="R10" s="136" t="s">
        <v>641</v>
      </c>
      <c r="S10" s="137" t="s">
        <v>642</v>
      </c>
      <c r="T10" s="137" t="s">
        <v>643</v>
      </c>
      <c r="U10" s="137" t="s">
        <v>644</v>
      </c>
      <c r="V10" s="137" t="s">
        <v>645</v>
      </c>
      <c r="W10" s="137" t="s">
        <v>646</v>
      </c>
      <c r="X10" s="138" t="s">
        <v>647</v>
      </c>
      <c r="Y10" s="295" t="s">
        <v>652</v>
      </c>
    </row>
    <row r="11" spans="2:26" ht="15.75" thickBot="1">
      <c r="B11" s="139" t="s">
        <v>500</v>
      </c>
      <c r="C11" s="140" t="s">
        <v>513</v>
      </c>
      <c r="D11" s="294" t="s">
        <v>248</v>
      </c>
      <c r="E11" s="164" t="s">
        <v>520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Netzgebiet Vlotho</v>
      </c>
      <c r="D12" s="62" t="s">
        <v>248</v>
      </c>
      <c r="E12" s="165" t="s">
        <v>671</v>
      </c>
      <c r="F12" s="297" t="str">
        <f>VLOOKUP($E12,'BDEW-Standard'!$B$3:$M$94,F$9,0)</f>
        <v>BA3</v>
      </c>
      <c r="H12" s="274">
        <f>ROUND(VLOOKUP($E12,'BDEW-Standard'!$B$3:$M$94,H$9,0),7)</f>
        <v>0.62619619999999998</v>
      </c>
      <c r="I12" s="274">
        <f>ROUND(VLOOKUP($E12,'BDEW-Standard'!$B$3:$M$94,I$9,0),7)</f>
        <v>-33</v>
      </c>
      <c r="J12" s="274">
        <f>ROUND(VLOOKUP($E12,'BDEW-Standard'!$B$3:$M$94,J$9,0),7)</f>
        <v>5.7212303000000002</v>
      </c>
      <c r="K12" s="274">
        <f>ROUND(VLOOKUP($E12,'BDEW-Standard'!$B$3:$M$94,K$9,0),7)</f>
        <v>0.78556550000000003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6" si="1">($H12/(1+($I12/($Q$9-$L12))^$J12)+$K12)+MAX($M12*$Q$9+$N12,$O12*$Q$9+$P12)</f>
        <v>1.0711738317583412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Netzgebiet Vlotho</v>
      </c>
      <c r="D13" s="62" t="s">
        <v>248</v>
      </c>
      <c r="E13" s="165" t="s">
        <v>672</v>
      </c>
      <c r="F13" s="297" t="str">
        <f>VLOOKUP($E13,'BDEW-Standard'!$B$3:$M$94,F$9,0)</f>
        <v>BD3</v>
      </c>
      <c r="H13" s="274">
        <f>ROUND(VLOOKUP($E13,'BDEW-Standard'!$B$3:$M$94,H$9,0),7)</f>
        <v>2.9177027</v>
      </c>
      <c r="I13" s="274">
        <f>ROUND(VLOOKUP($E13,'BDEW-Standard'!$B$3:$M$94,I$9,0),7)</f>
        <v>-36.179411700000003</v>
      </c>
      <c r="J13" s="274">
        <f>ROUND(VLOOKUP($E13,'BDEW-Standard'!$B$3:$M$94,J$9,0),7)</f>
        <v>5.9265162</v>
      </c>
      <c r="K13" s="274">
        <f>ROUND(VLOOKUP($E13,'BDEW-Standard'!$B$3:$M$94,K$9,0),7)</f>
        <v>0.11519119999999999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1.0656106174494469</v>
      </c>
      <c r="R13" s="275">
        <f>ROUND(VLOOKUP(MID($E13,4,3),'Wochentag F(WT)'!$B$7:$J$22,R$9,0),4)</f>
        <v>1.1052</v>
      </c>
      <c r="S13" s="275">
        <f>ROUND(VLOOKUP(MID($E13,4,3),'Wochentag F(WT)'!$B$7:$J$22,S$9,0),4)</f>
        <v>1.0857000000000001</v>
      </c>
      <c r="T13" s="275">
        <f>ROUND(VLOOKUP(MID($E13,4,3),'Wochentag F(WT)'!$B$7:$J$22,T$9,0),4)</f>
        <v>1.0378000000000001</v>
      </c>
      <c r="U13" s="275">
        <f>ROUND(VLOOKUP(MID($E13,4,3),'Wochentag F(WT)'!$B$7:$J$22,U$9,0),4)</f>
        <v>1.0622</v>
      </c>
      <c r="V13" s="275">
        <f>ROUND(VLOOKUP(MID($E13,4,3),'Wochentag F(WT)'!$B$7:$J$22,V$9,0),4)</f>
        <v>1.0266</v>
      </c>
      <c r="W13" s="275">
        <f>ROUND(VLOOKUP(MID($E13,4,3),'Wochentag F(WT)'!$B$7:$J$22,W$9,0),4)</f>
        <v>0.76290000000000002</v>
      </c>
      <c r="X13" s="276">
        <f t="shared" ref="X13:X26" si="2">7-SUM(R13:W13)</f>
        <v>0.91959999999999997</v>
      </c>
      <c r="Y13" s="293"/>
      <c r="Z13" s="211"/>
    </row>
    <row r="14" spans="2:26" s="143" customFormat="1">
      <c r="B14" s="144">
        <v>3</v>
      </c>
      <c r="C14" s="145" t="str">
        <f t="shared" si="0"/>
        <v>Netzgebiet Vlotho</v>
      </c>
      <c r="D14" s="62" t="s">
        <v>248</v>
      </c>
      <c r="E14" s="165" t="s">
        <v>673</v>
      </c>
      <c r="F14" s="297" t="str">
        <f>VLOOKUP($E14,'BDEW-Standard'!$B$3:$M$94,F$9,0)</f>
        <v>BH3</v>
      </c>
      <c r="H14" s="274">
        <f>ROUND(VLOOKUP($E14,'BDEW-Standard'!$B$3:$M$94,H$9,0),7)</f>
        <v>2.0102471999999998</v>
      </c>
      <c r="I14" s="274">
        <f>ROUND(VLOOKUP($E14,'BDEW-Standard'!$B$3:$M$94,I$9,0),7)</f>
        <v>-35.253212400000002</v>
      </c>
      <c r="J14" s="274">
        <f>ROUND(VLOOKUP($E14,'BDEW-Standard'!$B$3:$M$94,J$9,0),7)</f>
        <v>6.1544406</v>
      </c>
      <c r="K14" s="274">
        <f>ROUND(VLOOKUP($E14,'BDEW-Standard'!$B$3:$M$94,K$9,0),7)</f>
        <v>0.32947409999999999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1.0436896084076008</v>
      </c>
      <c r="R14" s="275">
        <f>ROUND(VLOOKUP(MID($E14,4,3),'Wochentag F(WT)'!$B$7:$J$22,R$9,0),4)</f>
        <v>0.97670000000000001</v>
      </c>
      <c r="S14" s="275">
        <f>ROUND(VLOOKUP(MID($E14,4,3),'Wochentag F(WT)'!$B$7:$J$22,S$9,0),4)</f>
        <v>1.0388999999999999</v>
      </c>
      <c r="T14" s="275">
        <f>ROUND(VLOOKUP(MID($E14,4,3),'Wochentag F(WT)'!$B$7:$J$22,T$9,0),4)</f>
        <v>1.0027999999999999</v>
      </c>
      <c r="U14" s="275">
        <f>ROUND(VLOOKUP(MID($E14,4,3),'Wochentag F(WT)'!$B$7:$J$22,U$9,0),4)</f>
        <v>1.0162</v>
      </c>
      <c r="V14" s="275">
        <f>ROUND(VLOOKUP(MID($E14,4,3),'Wochentag F(WT)'!$B$7:$J$22,V$9,0),4)</f>
        <v>1.0024</v>
      </c>
      <c r="W14" s="275">
        <f>ROUND(VLOOKUP(MID($E14,4,3),'Wochentag F(WT)'!$B$7:$J$22,W$9,0),4)</f>
        <v>1.0043</v>
      </c>
      <c r="X14" s="276">
        <f t="shared" si="2"/>
        <v>0.95870000000000122</v>
      </c>
      <c r="Y14" s="293"/>
      <c r="Z14" s="211"/>
    </row>
    <row r="15" spans="2:26" s="143" customFormat="1">
      <c r="B15" s="144">
        <v>4</v>
      </c>
      <c r="C15" s="145" t="str">
        <f t="shared" si="0"/>
        <v>Netzgebiet Vlotho</v>
      </c>
      <c r="D15" s="62" t="s">
        <v>248</v>
      </c>
      <c r="E15" s="165" t="s">
        <v>674</v>
      </c>
      <c r="F15" s="297" t="str">
        <f>VLOOKUP($E15,'BDEW-Standard'!$B$3:$M$94,F$9,0)</f>
        <v>GA3</v>
      </c>
      <c r="H15" s="274">
        <f>ROUND(VLOOKUP($E15,'BDEW-Standard'!$B$3:$M$94,H$9,0),7)</f>
        <v>2.2850164999999998</v>
      </c>
      <c r="I15" s="274">
        <f>ROUND(VLOOKUP($E15,'BDEW-Standard'!$B$3:$M$94,I$9,0),7)</f>
        <v>-36.287858399999998</v>
      </c>
      <c r="J15" s="274">
        <f>ROUND(VLOOKUP($E15,'BDEW-Standard'!$B$3:$M$94,J$9,0),7)</f>
        <v>6.5885125999999996</v>
      </c>
      <c r="K15" s="274">
        <f>ROUND(VLOOKUP($E15,'BDEW-Standard'!$B$3:$M$94,K$9,0),7)</f>
        <v>0.31505349999999999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1.0096183914256316</v>
      </c>
      <c r="R15" s="275">
        <f>ROUND(VLOOKUP(MID($E15,4,3),'Wochentag F(WT)'!$B$7:$J$22,R$9,0),4)</f>
        <v>0.93220000000000003</v>
      </c>
      <c r="S15" s="275">
        <f>ROUND(VLOOKUP(MID($E15,4,3),'Wochentag F(WT)'!$B$7:$J$22,S$9,0),4)</f>
        <v>0.98939999999999995</v>
      </c>
      <c r="T15" s="275">
        <f>ROUND(VLOOKUP(MID($E15,4,3),'Wochentag F(WT)'!$B$7:$J$22,T$9,0),4)</f>
        <v>1.0033000000000001</v>
      </c>
      <c r="U15" s="275">
        <f>ROUND(VLOOKUP(MID($E15,4,3),'Wochentag F(WT)'!$B$7:$J$22,U$9,0),4)</f>
        <v>1.0108999999999999</v>
      </c>
      <c r="V15" s="275">
        <f>ROUND(VLOOKUP(MID($E15,4,3),'Wochentag F(WT)'!$B$7:$J$22,V$9,0),4)</f>
        <v>1.018</v>
      </c>
      <c r="W15" s="275">
        <f>ROUND(VLOOKUP(MID($E15,4,3),'Wochentag F(WT)'!$B$7:$J$22,W$9,0),4)</f>
        <v>1.0356000000000001</v>
      </c>
      <c r="X15" s="276">
        <f t="shared" si="2"/>
        <v>1.0106000000000002</v>
      </c>
      <c r="Y15" s="293"/>
      <c r="Z15" s="211"/>
    </row>
    <row r="16" spans="2:26" s="143" customFormat="1">
      <c r="B16" s="144">
        <v>5</v>
      </c>
      <c r="C16" s="145" t="str">
        <f t="shared" si="0"/>
        <v>Netzgebiet Vlotho</v>
      </c>
      <c r="D16" s="62" t="s">
        <v>248</v>
      </c>
      <c r="E16" s="165" t="s">
        <v>675</v>
      </c>
      <c r="F16" s="297" t="str">
        <f>VLOOKUP($E16,'BDEW-Standard'!$B$3:$M$94,F$9,0)</f>
        <v>GB3</v>
      </c>
      <c r="H16" s="274">
        <f>ROUND(VLOOKUP($E16,'BDEW-Standard'!$B$3:$M$94,H$9,0),7)</f>
        <v>3.2572741999999999</v>
      </c>
      <c r="I16" s="274">
        <f>ROUND(VLOOKUP($E16,'BDEW-Standard'!$B$3:$M$94,I$9,0),7)</f>
        <v>-37.5</v>
      </c>
      <c r="J16" s="274">
        <f>ROUND(VLOOKUP($E16,'BDEW-Standard'!$B$3:$M$94,J$9,0),7)</f>
        <v>6.3462148000000003</v>
      </c>
      <c r="K16" s="274">
        <f>ROUND(VLOOKUP($E16,'BDEW-Standard'!$B$3:$M$94,K$9,0),7)</f>
        <v>8.6622699999999997E-2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0.9584556323619029</v>
      </c>
      <c r="R16" s="275">
        <f>ROUND(VLOOKUP(MID($E16,4,3),'Wochentag F(WT)'!$B$7:$J$22,R$9,0),4)</f>
        <v>0.98970000000000002</v>
      </c>
      <c r="S16" s="275">
        <f>ROUND(VLOOKUP(MID($E16,4,3),'Wochentag F(WT)'!$B$7:$J$22,S$9,0),4)</f>
        <v>0.9627</v>
      </c>
      <c r="T16" s="275">
        <f>ROUND(VLOOKUP(MID($E16,4,3),'Wochentag F(WT)'!$B$7:$J$22,T$9,0),4)</f>
        <v>1.0507</v>
      </c>
      <c r="U16" s="275">
        <f>ROUND(VLOOKUP(MID($E16,4,3),'Wochentag F(WT)'!$B$7:$J$22,U$9,0),4)</f>
        <v>1.0551999999999999</v>
      </c>
      <c r="V16" s="275">
        <f>ROUND(VLOOKUP(MID($E16,4,3),'Wochentag F(WT)'!$B$7:$J$22,V$9,0),4)</f>
        <v>1.0297000000000001</v>
      </c>
      <c r="W16" s="275">
        <f>ROUND(VLOOKUP(MID($E16,4,3),'Wochentag F(WT)'!$B$7:$J$22,W$9,0),4)</f>
        <v>0.97670000000000001</v>
      </c>
      <c r="X16" s="276">
        <f t="shared" si="2"/>
        <v>0.9352999999999998</v>
      </c>
      <c r="Y16" s="293"/>
      <c r="Z16" s="211"/>
    </row>
    <row r="17" spans="2:26" s="143" customFormat="1">
      <c r="B17" s="144">
        <v>6</v>
      </c>
      <c r="C17" s="145" t="str">
        <f t="shared" si="0"/>
        <v>Netzgebiet Vlotho</v>
      </c>
      <c r="D17" s="62" t="s">
        <v>248</v>
      </c>
      <c r="E17" s="165" t="s">
        <v>676</v>
      </c>
      <c r="F17" s="297" t="str">
        <f>VLOOKUP($E17,'BDEW-Standard'!$B$3:$M$94,F$9,0)</f>
        <v>HA3</v>
      </c>
      <c r="H17" s="274">
        <f>ROUND(VLOOKUP($E17,'BDEW-Standard'!$B$3:$M$94,H$9,0),7)</f>
        <v>3.5811213999999998</v>
      </c>
      <c r="I17" s="274">
        <f>ROUND(VLOOKUP($E17,'BDEW-Standard'!$B$3:$M$94,I$9,0),7)</f>
        <v>-36.965006500000001</v>
      </c>
      <c r="J17" s="274">
        <f>ROUND(VLOOKUP($E17,'BDEW-Standard'!$B$3:$M$94,J$9,0),7)</f>
        <v>7.2256947</v>
      </c>
      <c r="K17" s="274">
        <f>ROUND(VLOOKUP($E17,'BDEW-Standard'!$B$3:$M$94,K$9,0),7)</f>
        <v>4.4841600000000002E-2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0.97852945357176691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>Netzgebiet Vlotho</v>
      </c>
      <c r="D18" s="62" t="s">
        <v>248</v>
      </c>
      <c r="E18" s="165" t="s">
        <v>677</v>
      </c>
      <c r="F18" s="297" t="str">
        <f>VLOOKUP($E18,'BDEW-Standard'!$B$3:$M$94,F$9,0)</f>
        <v>HD3</v>
      </c>
      <c r="H18" s="274">
        <f>ROUND(VLOOKUP($E18,'BDEW-Standard'!$B$3:$M$94,H$9,0),7)</f>
        <v>2.5792510000000002</v>
      </c>
      <c r="I18" s="274">
        <f>ROUND(VLOOKUP($E18,'BDEW-Standard'!$B$3:$M$94,I$9,0),7)</f>
        <v>-35.681614400000001</v>
      </c>
      <c r="J18" s="274">
        <f>ROUND(VLOOKUP($E18,'BDEW-Standard'!$B$3:$M$94,J$9,0),7)</f>
        <v>6.6857975999999999</v>
      </c>
      <c r="K18" s="274">
        <f>ROUND(VLOOKUP($E18,'BDEW-Standard'!$B$3:$M$94,K$9,0),7)</f>
        <v>0.19955410000000001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1.0393994293439688</v>
      </c>
      <c r="R18" s="275">
        <f>ROUND(VLOOKUP(MID($E18,4,3),'Wochentag F(WT)'!$B$7:$J$22,R$9,0),4)</f>
        <v>1.03</v>
      </c>
      <c r="S18" s="275">
        <f>ROUND(VLOOKUP(MID($E18,4,3),'Wochentag F(WT)'!$B$7:$J$22,S$9,0),4)</f>
        <v>1.03</v>
      </c>
      <c r="T18" s="275">
        <f>ROUND(VLOOKUP(MID($E18,4,3),'Wochentag F(WT)'!$B$7:$J$22,T$9,0),4)</f>
        <v>1.02</v>
      </c>
      <c r="U18" s="275">
        <f>ROUND(VLOOKUP(MID($E18,4,3),'Wochentag F(WT)'!$B$7:$J$22,U$9,0),4)</f>
        <v>1.03</v>
      </c>
      <c r="V18" s="275">
        <f>ROUND(VLOOKUP(MID($E18,4,3),'Wochentag F(WT)'!$B$7:$J$22,V$9,0),4)</f>
        <v>1.01</v>
      </c>
      <c r="W18" s="275">
        <f>ROUND(VLOOKUP(MID($E18,4,3),'Wochentag F(WT)'!$B$7:$J$22,W$9,0),4)</f>
        <v>0.93</v>
      </c>
      <c r="X18" s="276">
        <f t="shared" si="2"/>
        <v>0.95000000000000018</v>
      </c>
      <c r="Y18" s="293"/>
      <c r="Z18" s="211"/>
    </row>
    <row r="19" spans="2:26" s="143" customFormat="1">
      <c r="B19" s="144">
        <v>8</v>
      </c>
      <c r="C19" s="145" t="str">
        <f t="shared" si="0"/>
        <v>Netzgebiet Vlotho</v>
      </c>
      <c r="D19" s="62" t="s">
        <v>248</v>
      </c>
      <c r="E19" s="165" t="s">
        <v>5</v>
      </c>
      <c r="F19" s="297" t="str">
        <f>VLOOKUP($E19,'BDEW-Standard'!$B$3:$M$94,F$9,0)</f>
        <v>HK3</v>
      </c>
      <c r="H19" s="274">
        <f>ROUND(VLOOKUP($E19,'BDEW-Standard'!$B$3:$M$94,H$9,0),7)</f>
        <v>0.40409319999999999</v>
      </c>
      <c r="I19" s="274">
        <f>ROUND(VLOOKUP($E19,'BDEW-Standard'!$B$3:$M$94,I$9,0),7)</f>
        <v>-24.439296800000001</v>
      </c>
      <c r="J19" s="274">
        <f>ROUND(VLOOKUP($E19,'BDEW-Standard'!$B$3:$M$94,J$9,0),7)</f>
        <v>6.5718174999999999</v>
      </c>
      <c r="K19" s="274">
        <f>ROUND(VLOOKUP($E19,'BDEW-Standard'!$B$3:$M$94,K$9,0),7)</f>
        <v>0.71077100000000004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1.0561214000512988</v>
      </c>
      <c r="R19" s="275">
        <f>ROUND(VLOOKUP(MID($E19,4,3),'Wochentag F(WT)'!$B$7:$J$22,R$9,0),4)</f>
        <v>1</v>
      </c>
      <c r="S19" s="275">
        <f>ROUND(VLOOKUP(MID($E19,4,3),'Wochentag F(WT)'!$B$7:$J$22,S$9,0),4)</f>
        <v>1</v>
      </c>
      <c r="T19" s="275">
        <f>ROUND(VLOOKUP(MID($E19,4,3),'Wochentag F(WT)'!$B$7:$J$22,T$9,0),4)</f>
        <v>1</v>
      </c>
      <c r="U19" s="275">
        <f>ROUND(VLOOKUP(MID($E19,4,3),'Wochentag F(WT)'!$B$7:$J$22,U$9,0),4)</f>
        <v>1</v>
      </c>
      <c r="V19" s="275">
        <f>ROUND(VLOOKUP(MID($E19,4,3),'Wochentag F(WT)'!$B$7:$J$22,V$9,0),4)</f>
        <v>1</v>
      </c>
      <c r="W19" s="275">
        <f>ROUND(VLOOKUP(MID($E19,4,3),'Wochentag F(WT)'!$B$7:$J$22,W$9,0),4)</f>
        <v>1</v>
      </c>
      <c r="X19" s="276">
        <f t="shared" si="2"/>
        <v>1</v>
      </c>
      <c r="Y19" s="293"/>
      <c r="Z19" s="211"/>
    </row>
    <row r="20" spans="2:26" s="143" customFormat="1">
      <c r="B20" s="144">
        <v>9</v>
      </c>
      <c r="C20" s="145" t="str">
        <f t="shared" si="0"/>
        <v>Netzgebiet Vlotho</v>
      </c>
      <c r="D20" s="62" t="s">
        <v>248</v>
      </c>
      <c r="E20" s="165" t="s">
        <v>678</v>
      </c>
      <c r="F20" s="297" t="str">
        <f>VLOOKUP($E20,'BDEW-Standard'!$B$3:$M$94,F$9,0)</f>
        <v>KO3</v>
      </c>
      <c r="H20" s="274">
        <f>ROUND(VLOOKUP($E20,'BDEW-Standard'!$B$3:$M$94,H$9,0),7)</f>
        <v>2.7172288</v>
      </c>
      <c r="I20" s="274">
        <f>ROUND(VLOOKUP($E20,'BDEW-Standard'!$B$3:$M$94,I$9,0),7)</f>
        <v>-35.141256300000002</v>
      </c>
      <c r="J20" s="274">
        <f>ROUND(VLOOKUP($E20,'BDEW-Standard'!$B$3:$M$94,J$9,0),7)</f>
        <v>7.1303394999999998</v>
      </c>
      <c r="K20" s="274">
        <f>ROUND(VLOOKUP($E20,'BDEW-Standard'!$B$3:$M$94,K$9,0),7)</f>
        <v>0.14184720000000001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1.0630299199876638</v>
      </c>
      <c r="R20" s="275">
        <f>ROUND(VLOOKUP(MID($E20,4,3),'Wochentag F(WT)'!$B$7:$J$22,R$9,0),4)</f>
        <v>1.0354000000000001</v>
      </c>
      <c r="S20" s="275">
        <f>ROUND(VLOOKUP(MID($E20,4,3),'Wochentag F(WT)'!$B$7:$J$22,S$9,0),4)</f>
        <v>1.0523</v>
      </c>
      <c r="T20" s="275">
        <f>ROUND(VLOOKUP(MID($E20,4,3),'Wochentag F(WT)'!$B$7:$J$22,T$9,0),4)</f>
        <v>1.0448999999999999</v>
      </c>
      <c r="U20" s="275">
        <f>ROUND(VLOOKUP(MID($E20,4,3),'Wochentag F(WT)'!$B$7:$J$22,U$9,0),4)</f>
        <v>1.0494000000000001</v>
      </c>
      <c r="V20" s="275">
        <f>ROUND(VLOOKUP(MID($E20,4,3),'Wochentag F(WT)'!$B$7:$J$22,V$9,0),4)</f>
        <v>0.98850000000000005</v>
      </c>
      <c r="W20" s="275">
        <f>ROUND(VLOOKUP(MID($E20,4,3),'Wochentag F(WT)'!$B$7:$J$22,W$9,0),4)</f>
        <v>0.88600000000000001</v>
      </c>
      <c r="X20" s="276">
        <f t="shared" si="2"/>
        <v>0.94349999999999934</v>
      </c>
      <c r="Y20" s="293"/>
      <c r="Z20" s="211"/>
    </row>
    <row r="21" spans="2:26" s="143" customFormat="1">
      <c r="B21" s="144">
        <v>10</v>
      </c>
      <c r="C21" s="145" t="str">
        <f t="shared" si="0"/>
        <v>Netzgebiet Vlotho</v>
      </c>
      <c r="D21" s="62" t="s">
        <v>248</v>
      </c>
      <c r="E21" s="165" t="s">
        <v>679</v>
      </c>
      <c r="F21" s="297" t="str">
        <f>VLOOKUP($E21,'BDEW-Standard'!$B$3:$M$94,F$9,0)</f>
        <v>MF3</v>
      </c>
      <c r="H21" s="274">
        <f>ROUND(VLOOKUP($E21,'BDEW-Standard'!$B$3:$M$94,H$9,0),7)</f>
        <v>2.3877617999999998</v>
      </c>
      <c r="I21" s="274">
        <f>ROUND(VLOOKUP($E21,'BDEW-Standard'!$B$3:$M$94,I$9,0),7)</f>
        <v>-34.721360500000003</v>
      </c>
      <c r="J21" s="274">
        <f>ROUND(VLOOKUP($E21,'BDEW-Standard'!$B$3:$M$94,J$9,0),7)</f>
        <v>5.8164303999999998</v>
      </c>
      <c r="K21" s="274">
        <f>ROUND(VLOOKUP($E21,'BDEW-Standard'!$B$3:$M$94,K$9,0),7)</f>
        <v>0.12081939999999999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1.0365184142102302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3"/>
      <c r="Z21" s="211"/>
    </row>
    <row r="22" spans="2:26" s="143" customFormat="1">
      <c r="B22" s="144">
        <v>11</v>
      </c>
      <c r="C22" s="145" t="str">
        <f t="shared" si="0"/>
        <v>Netzgebiet Vlotho</v>
      </c>
      <c r="D22" s="62" t="s">
        <v>248</v>
      </c>
      <c r="E22" s="165" t="s">
        <v>680</v>
      </c>
      <c r="F22" s="297" t="str">
        <f>VLOOKUP($E22,'BDEW-Standard'!$B$3:$M$94,F$9,0)</f>
        <v>MK3</v>
      </c>
      <c r="H22" s="274">
        <f>ROUND(VLOOKUP($E22,'BDEW-Standard'!$B$3:$M$94,H$9,0),7)</f>
        <v>2.7882424000000001</v>
      </c>
      <c r="I22" s="274">
        <f>ROUND(VLOOKUP($E22,'BDEW-Standard'!$B$3:$M$94,I$9,0),7)</f>
        <v>-34.880612999999997</v>
      </c>
      <c r="J22" s="274">
        <f>ROUND(VLOOKUP($E22,'BDEW-Standard'!$B$3:$M$94,J$9,0),7)</f>
        <v>6.5951899000000003</v>
      </c>
      <c r="K22" s="274">
        <f>ROUND(VLOOKUP($E22,'BDEW-Standard'!$B$3:$M$94,K$9,0),7)</f>
        <v>5.4032900000000002E-2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1.0622306107520199</v>
      </c>
      <c r="R22" s="275">
        <f>ROUND(VLOOKUP(MID($E22,4,3),'Wochentag F(WT)'!$B$7:$J$22,R$9,0),4)</f>
        <v>1.0699000000000001</v>
      </c>
      <c r="S22" s="275">
        <f>ROUND(VLOOKUP(MID($E22,4,3),'Wochentag F(WT)'!$B$7:$J$22,S$9,0),4)</f>
        <v>1.0365</v>
      </c>
      <c r="T22" s="275">
        <f>ROUND(VLOOKUP(MID($E22,4,3),'Wochentag F(WT)'!$B$7:$J$22,T$9,0),4)</f>
        <v>0.99329999999999996</v>
      </c>
      <c r="U22" s="275">
        <f>ROUND(VLOOKUP(MID($E22,4,3),'Wochentag F(WT)'!$B$7:$J$22,U$9,0),4)</f>
        <v>0.99480000000000002</v>
      </c>
      <c r="V22" s="275">
        <f>ROUND(VLOOKUP(MID($E22,4,3),'Wochentag F(WT)'!$B$7:$J$22,V$9,0),4)</f>
        <v>1.0659000000000001</v>
      </c>
      <c r="W22" s="275">
        <f>ROUND(VLOOKUP(MID($E22,4,3),'Wochentag F(WT)'!$B$7:$J$22,W$9,0),4)</f>
        <v>0.93620000000000003</v>
      </c>
      <c r="X22" s="276">
        <f t="shared" si="2"/>
        <v>0.90339999999999954</v>
      </c>
      <c r="Y22" s="293"/>
      <c r="Z22" s="211"/>
    </row>
    <row r="23" spans="2:26" s="143" customFormat="1">
      <c r="B23" s="144">
        <v>12</v>
      </c>
      <c r="C23" s="145" t="str">
        <f t="shared" si="0"/>
        <v>Netzgebiet Vlotho</v>
      </c>
      <c r="D23" s="62" t="s">
        <v>248</v>
      </c>
      <c r="E23" s="165" t="s">
        <v>4</v>
      </c>
      <c r="F23" s="297" t="str">
        <f>VLOOKUP($E23,'BDEW-Standard'!$B$3:$M$94,F$9,0)</f>
        <v>D13</v>
      </c>
      <c r="H23" s="274">
        <f>ROUND(VLOOKUP($E23,'BDEW-Standard'!$B$3:$M$94,H$9,0),7)</f>
        <v>3.0469694999999999</v>
      </c>
      <c r="I23" s="274">
        <f>ROUND(VLOOKUP($E23,'BDEW-Standard'!$B$3:$M$94,I$9,0),7)</f>
        <v>-37.183314099999997</v>
      </c>
      <c r="J23" s="274">
        <f>ROUND(VLOOKUP($E23,'BDEW-Standard'!$B$3:$M$94,J$9,0),7)</f>
        <v>5.6727847000000002</v>
      </c>
      <c r="K23" s="274">
        <f>ROUND(VLOOKUP($E23,'BDEW-Standard'!$B$3:$M$94,K$9,0),7)</f>
        <v>9.6193100000000004E-2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1.0075192723557669</v>
      </c>
      <c r="R23" s="275">
        <f>ROUND(VLOOKUP(MID($E23,4,3),'Wochentag F(WT)'!$B$7:$J$22,R$9,0),4)</f>
        <v>1</v>
      </c>
      <c r="S23" s="275">
        <f>ROUND(VLOOKUP(MID($E23,4,3),'Wochentag F(WT)'!$B$7:$J$22,S$9,0),4)</f>
        <v>1</v>
      </c>
      <c r="T23" s="275">
        <f>ROUND(VLOOKUP(MID($E23,4,3),'Wochentag F(WT)'!$B$7:$J$22,T$9,0),4)</f>
        <v>1</v>
      </c>
      <c r="U23" s="275">
        <f>ROUND(VLOOKUP(MID($E23,4,3),'Wochentag F(WT)'!$B$7:$J$22,U$9,0),4)</f>
        <v>1</v>
      </c>
      <c r="V23" s="275">
        <f>ROUND(VLOOKUP(MID($E23,4,3),'Wochentag F(WT)'!$B$7:$J$22,V$9,0),4)</f>
        <v>1</v>
      </c>
      <c r="W23" s="275">
        <f>ROUND(VLOOKUP(MID($E23,4,3),'Wochentag F(WT)'!$B$7:$J$22,W$9,0),4)</f>
        <v>1</v>
      </c>
      <c r="X23" s="276">
        <f t="shared" si="2"/>
        <v>1</v>
      </c>
      <c r="Y23" s="293"/>
      <c r="Z23" s="211"/>
    </row>
    <row r="24" spans="2:26" s="143" customFormat="1">
      <c r="B24" s="144">
        <v>13</v>
      </c>
      <c r="C24" s="145" t="str">
        <f t="shared" si="0"/>
        <v>Netzgebiet Vlotho</v>
      </c>
      <c r="D24" s="62" t="s">
        <v>248</v>
      </c>
      <c r="E24" s="165" t="s">
        <v>587</v>
      </c>
      <c r="F24" s="297" t="str">
        <f>VLOOKUP($E24,'BDEW-Standard'!$B$3:$M$94,F$9,0)</f>
        <v>D23</v>
      </c>
      <c r="H24" s="274">
        <f>ROUND(VLOOKUP($E24,'BDEW-Standard'!$B$3:$M$94,H$9,0),7)</f>
        <v>2.3877617999999998</v>
      </c>
      <c r="I24" s="274">
        <f>ROUND(VLOOKUP($E24,'BDEW-Standard'!$B$3:$M$94,I$9,0),7)</f>
        <v>-34.721360500000003</v>
      </c>
      <c r="J24" s="274">
        <f>ROUND(VLOOKUP($E24,'BDEW-Standard'!$B$3:$M$94,J$9,0),7)</f>
        <v>5.8164303999999998</v>
      </c>
      <c r="K24" s="274">
        <f>ROUND(VLOOKUP($E24,'BDEW-Standard'!$B$3:$M$94,K$9,0),7)</f>
        <v>0.12081939999999999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1.0365184142102302</v>
      </c>
      <c r="R24" s="275">
        <f>ROUND(VLOOKUP(MID($E24,4,3),'Wochentag F(WT)'!$B$7:$J$22,R$9,0),4)</f>
        <v>1</v>
      </c>
      <c r="S24" s="275">
        <f>ROUND(VLOOKUP(MID($E24,4,3),'Wochentag F(WT)'!$B$7:$J$22,S$9,0),4)</f>
        <v>1</v>
      </c>
      <c r="T24" s="275">
        <f>ROUND(VLOOKUP(MID($E24,4,3),'Wochentag F(WT)'!$B$7:$J$22,T$9,0),4)</f>
        <v>1</v>
      </c>
      <c r="U24" s="275">
        <f>ROUND(VLOOKUP(MID($E24,4,3),'Wochentag F(WT)'!$B$7:$J$22,U$9,0),4)</f>
        <v>1</v>
      </c>
      <c r="V24" s="275">
        <f>ROUND(VLOOKUP(MID($E24,4,3),'Wochentag F(WT)'!$B$7:$J$22,V$9,0),4)</f>
        <v>1</v>
      </c>
      <c r="W24" s="275">
        <f>ROUND(VLOOKUP(MID($E24,4,3),'Wochentag F(WT)'!$B$7:$J$22,W$9,0),4)</f>
        <v>1</v>
      </c>
      <c r="X24" s="276">
        <f t="shared" si="2"/>
        <v>1</v>
      </c>
      <c r="Y24" s="293"/>
      <c r="Z24" s="211"/>
    </row>
    <row r="25" spans="2:26" s="143" customFormat="1">
      <c r="B25" s="144">
        <v>14</v>
      </c>
      <c r="C25" s="145" t="str">
        <f t="shared" si="0"/>
        <v>Netzgebiet Vlotho</v>
      </c>
      <c r="D25" s="62" t="s">
        <v>248</v>
      </c>
      <c r="E25" s="165" t="s">
        <v>681</v>
      </c>
      <c r="F25" s="297" t="str">
        <f>VLOOKUP($E25,'BDEW-Standard'!$B$3:$M$94,F$9,0)</f>
        <v>PD3</v>
      </c>
      <c r="H25" s="274">
        <f>ROUND(VLOOKUP($E25,'BDEW-Standard'!$B$3:$M$94,H$9,0),7)</f>
        <v>3.2</v>
      </c>
      <c r="I25" s="274">
        <f>ROUND(VLOOKUP($E25,'BDEW-Standard'!$B$3:$M$94,I$9,0),7)</f>
        <v>-35.799999999999997</v>
      </c>
      <c r="J25" s="274">
        <f>ROUND(VLOOKUP($E25,'BDEW-Standard'!$B$3:$M$94,J$9,0),7)</f>
        <v>8.4</v>
      </c>
      <c r="K25" s="274">
        <f>ROUND(VLOOKUP($E25,'BDEW-Standard'!$B$3:$M$94,K$9,0),7)</f>
        <v>9.3848600000000004E-2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0.99106250024889242</v>
      </c>
      <c r="R25" s="275">
        <f>ROUND(VLOOKUP(MID($E25,4,3),'Wochentag F(WT)'!$B$7:$J$22,R$9,0),4)</f>
        <v>1.0214000000000001</v>
      </c>
      <c r="S25" s="275">
        <f>ROUND(VLOOKUP(MID($E25,4,3),'Wochentag F(WT)'!$B$7:$J$22,S$9,0),4)</f>
        <v>1.0866</v>
      </c>
      <c r="T25" s="275">
        <f>ROUND(VLOOKUP(MID($E25,4,3),'Wochentag F(WT)'!$B$7:$J$22,T$9,0),4)</f>
        <v>1.0720000000000001</v>
      </c>
      <c r="U25" s="275">
        <f>ROUND(VLOOKUP(MID($E25,4,3),'Wochentag F(WT)'!$B$7:$J$22,U$9,0),4)</f>
        <v>1.0557000000000001</v>
      </c>
      <c r="V25" s="275">
        <f>ROUND(VLOOKUP(MID($E25,4,3),'Wochentag F(WT)'!$B$7:$J$22,V$9,0),4)</f>
        <v>1.0117</v>
      </c>
      <c r="W25" s="275">
        <f>ROUND(VLOOKUP(MID($E25,4,3),'Wochentag F(WT)'!$B$7:$J$22,W$9,0),4)</f>
        <v>0.90010000000000001</v>
      </c>
      <c r="X25" s="276">
        <f t="shared" si="2"/>
        <v>0.85249999999999915</v>
      </c>
      <c r="Y25" s="293"/>
      <c r="Z25" s="211"/>
    </row>
    <row r="26" spans="2:26" s="143" customFormat="1">
      <c r="B26" s="144">
        <v>15</v>
      </c>
      <c r="C26" s="145" t="str">
        <f t="shared" si="0"/>
        <v>Netzgebiet Vlotho</v>
      </c>
      <c r="D26" s="62" t="s">
        <v>248</v>
      </c>
      <c r="E26" s="165" t="s">
        <v>682</v>
      </c>
      <c r="F26" s="297" t="str">
        <f>VLOOKUP($E26,'BDEW-Standard'!$B$3:$M$94,F$9,0)</f>
        <v>WA3</v>
      </c>
      <c r="H26" s="274">
        <f>ROUND(VLOOKUP($E26,'BDEW-Standard'!$B$3:$M$94,H$9,0),7)</f>
        <v>0.76572899999999999</v>
      </c>
      <c r="I26" s="274">
        <f>ROUND(VLOOKUP($E26,'BDEW-Standard'!$B$3:$M$94,I$9,0),7)</f>
        <v>-36.023791199999998</v>
      </c>
      <c r="J26" s="274">
        <f>ROUND(VLOOKUP($E26,'BDEW-Standard'!$B$3:$M$94,J$9,0),7)</f>
        <v>4.8662747</v>
      </c>
      <c r="K26" s="274">
        <f>ROUND(VLOOKUP($E26,'BDEW-Standard'!$B$3:$M$94,K$9,0),7)</f>
        <v>0.80494250000000001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1"/>
        <v>1.0804258319686442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3"/>
      <c r="Z26" s="211"/>
    </row>
    <row r="27" spans="2:26" s="143" customFormat="1">
      <c r="B27" s="144">
        <v>16</v>
      </c>
      <c r="C27" s="145" t="str">
        <f t="shared" si="0"/>
        <v>Netzgebiet Vlotho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Netzgebiet Vlotho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Netzgebiet Vlotho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Netzgebiet Vlotho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Netzgebiet Vlotho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Netzgebiet Vlotho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Netzgebiet Vlotho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Netzgebiet Vlotho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Netzgebiet Vlotho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Netzgebiet Vlotho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Netzgebiet Vlotho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Netzgebiet Vlotho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Netzgebiet Vlotho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Netzgebiet Vlotho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Netzgebiet Vlotho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6 H12:K26 C13:C33 C34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P12" sqref="P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Vlotho GmbH</v>
      </c>
      <c r="D4" s="76"/>
      <c r="G4" s="76"/>
      <c r="I4" s="76"/>
      <c r="J4" s="77"/>
      <c r="M4" s="86" t="s">
        <v>542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Netzgebiet Vlotho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9870118800001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462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586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653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1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1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458</v>
      </c>
      <c r="F1" s="214" t="s">
        <v>548</v>
      </c>
      <c r="N1" s="215"/>
    </row>
    <row r="2" spans="1:14" ht="25.5">
      <c r="A2" s="216" t="s">
        <v>272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656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2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323</v>
      </c>
      <c r="D96" s="232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328</v>
      </c>
      <c r="D97" s="232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333</v>
      </c>
      <c r="D98" s="232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286</v>
      </c>
      <c r="D99" s="232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2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2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2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2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2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2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2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2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2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2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2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2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2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2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2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2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2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2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2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2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2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2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2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2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2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2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2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2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2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2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2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2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2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2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2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2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2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2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2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2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2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2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2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2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2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2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2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2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2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2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2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2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2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2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2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2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2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2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2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459</v>
      </c>
      <c r="B1" s="128"/>
      <c r="D1" s="214" t="s">
        <v>548</v>
      </c>
    </row>
    <row r="2" spans="1:16">
      <c r="A2" s="234"/>
      <c r="B2" s="233" t="s">
        <v>460</v>
      </c>
    </row>
    <row r="3" spans="1:16" ht="20.100000000000001" customHeight="1">
      <c r="A3" s="351" t="s">
        <v>249</v>
      </c>
      <c r="B3" s="235" t="s">
        <v>87</v>
      </c>
      <c r="C3" s="236"/>
      <c r="D3" s="353" t="s">
        <v>461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118</v>
      </c>
    </row>
    <row r="22" spans="1:16" ht="25.5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Hanke, Horst Stadtwerke Lippe-Weser Service</cp:lastModifiedBy>
  <cp:lastPrinted>2015-03-20T22:59:10Z</cp:lastPrinted>
  <dcterms:created xsi:type="dcterms:W3CDTF">2015-01-15T05:25:41Z</dcterms:created>
  <dcterms:modified xsi:type="dcterms:W3CDTF">2015-10-30T11:45:37Z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