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VD\Internet\Stadtwerke\2022\"/>
    </mc:Choice>
  </mc:AlternateContent>
  <bookViews>
    <workbookView xWindow="0" yWindow="0" windowWidth="30720" windowHeight="13512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7" l="1"/>
  <c r="V26" i="7"/>
  <c r="U26" i="7"/>
  <c r="T26" i="7"/>
  <c r="S26" i="7"/>
  <c r="R26" i="7"/>
  <c r="W25" i="7"/>
  <c r="V25" i="7"/>
  <c r="U25" i="7"/>
  <c r="T25" i="7"/>
  <c r="S25" i="7"/>
  <c r="R25" i="7"/>
  <c r="X25" i="7" s="1"/>
  <c r="W24" i="7"/>
  <c r="V24" i="7"/>
  <c r="U24" i="7"/>
  <c r="T24" i="7"/>
  <c r="S24" i="7"/>
  <c r="X24" i="7" s="1"/>
  <c r="R24" i="7"/>
  <c r="W23" i="7"/>
  <c r="V23" i="7"/>
  <c r="X23" i="7" s="1"/>
  <c r="U23" i="7"/>
  <c r="T23" i="7"/>
  <c r="S23" i="7"/>
  <c r="R23" i="7"/>
  <c r="W22" i="7"/>
  <c r="V22" i="7"/>
  <c r="U22" i="7"/>
  <c r="T22" i="7"/>
  <c r="S22" i="7"/>
  <c r="R22" i="7"/>
  <c r="W21" i="7"/>
  <c r="V21" i="7"/>
  <c r="U21" i="7"/>
  <c r="T21" i="7"/>
  <c r="S21" i="7"/>
  <c r="R21" i="7"/>
  <c r="X21" i="7" s="1"/>
  <c r="W20" i="7"/>
  <c r="V20" i="7"/>
  <c r="U20" i="7"/>
  <c r="T20" i="7"/>
  <c r="S20" i="7"/>
  <c r="X20" i="7" s="1"/>
  <c r="R20" i="7"/>
  <c r="W18" i="7"/>
  <c r="V18" i="7"/>
  <c r="U18" i="7"/>
  <c r="T18" i="7"/>
  <c r="S18" i="7"/>
  <c r="R18" i="7"/>
  <c r="W17" i="7"/>
  <c r="V17" i="7"/>
  <c r="U17" i="7"/>
  <c r="T17" i="7"/>
  <c r="S17" i="7"/>
  <c r="R17" i="7"/>
  <c r="X17" i="7" s="1"/>
  <c r="W16" i="7"/>
  <c r="V16" i="7"/>
  <c r="U16" i="7"/>
  <c r="T16" i="7"/>
  <c r="S16" i="7"/>
  <c r="X16" i="7" s="1"/>
  <c r="R16" i="7"/>
  <c r="W15" i="7"/>
  <c r="V15" i="7"/>
  <c r="X15" i="7" s="1"/>
  <c r="U15" i="7"/>
  <c r="T15" i="7"/>
  <c r="S15" i="7"/>
  <c r="R15" i="7"/>
  <c r="W14" i="7"/>
  <c r="V14" i="7"/>
  <c r="U14" i="7"/>
  <c r="T14" i="7"/>
  <c r="S14" i="7"/>
  <c r="R14" i="7"/>
  <c r="W13" i="7"/>
  <c r="V13" i="7"/>
  <c r="U13" i="7"/>
  <c r="T13" i="7"/>
  <c r="S13" i="7"/>
  <c r="R13" i="7"/>
  <c r="W12" i="7"/>
  <c r="V12" i="7"/>
  <c r="U12" i="7"/>
  <c r="T12" i="7"/>
  <c r="S12" i="7"/>
  <c r="R12" i="7"/>
  <c r="X26" i="7"/>
  <c r="F26" i="7"/>
  <c r="F25" i="7"/>
  <c r="F24" i="7"/>
  <c r="F23" i="7"/>
  <c r="X22" i="7"/>
  <c r="F22" i="7"/>
  <c r="F21" i="7"/>
  <c r="F20" i="7"/>
  <c r="F19" i="7"/>
  <c r="X18" i="7"/>
  <c r="F18" i="7"/>
  <c r="F17" i="7"/>
  <c r="F16" i="7"/>
  <c r="F15" i="7"/>
  <c r="X14" i="7"/>
  <c r="F14" i="7"/>
  <c r="F13" i="7"/>
  <c r="F12" i="7"/>
  <c r="X12" i="7" l="1"/>
  <c r="X13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G21" i="18" l="1"/>
  <c r="K21" i="18"/>
  <c r="I21" i="18"/>
  <c r="N21" i="18"/>
  <c r="H21" i="18"/>
  <c r="L21" i="18"/>
  <c r="J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E21" i="18"/>
  <c r="F70" i="17"/>
  <c r="G70" i="17"/>
  <c r="H70" i="17"/>
  <c r="I70" i="17"/>
  <c r="J70" i="17"/>
  <c r="K70" i="17"/>
  <c r="L70" i="17"/>
  <c r="M70" i="17"/>
  <c r="N70" i="17"/>
  <c r="E70" i="17"/>
  <c r="H55" i="18" l="1"/>
  <c r="I55" i="18"/>
  <c r="M55" i="18"/>
  <c r="F55" i="18"/>
  <c r="L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9" i="7" s="1"/>
  <c r="H21" i="4"/>
  <c r="V19" i="7" s="1"/>
  <c r="G21" i="4"/>
  <c r="U19" i="7" s="1"/>
  <c r="F21" i="4"/>
  <c r="T19" i="7" s="1"/>
  <c r="E21" i="4"/>
  <c r="S19" i="7" s="1"/>
  <c r="D21" i="4"/>
  <c r="R19" i="7" s="1"/>
  <c r="M20" i="4"/>
  <c r="M19" i="4"/>
  <c r="M16" i="4"/>
  <c r="M18" i="4"/>
  <c r="M17" i="4"/>
  <c r="M15" i="4"/>
  <c r="M14" i="4"/>
  <c r="M13" i="4"/>
  <c r="M12" i="4"/>
  <c r="M11" i="4"/>
  <c r="X19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26" i="7" l="1"/>
  <c r="M25" i="7"/>
  <c r="P24" i="7"/>
  <c r="J22" i="7"/>
  <c r="M21" i="7"/>
  <c r="P20" i="7"/>
  <c r="J18" i="7"/>
  <c r="M17" i="7"/>
  <c r="P16" i="7"/>
  <c r="J14" i="7"/>
  <c r="M13" i="7"/>
  <c r="P12" i="7"/>
  <c r="I26" i="7"/>
  <c r="L25" i="7"/>
  <c r="O24" i="7"/>
  <c r="I22" i="7"/>
  <c r="L21" i="7"/>
  <c r="O20" i="7"/>
  <c r="I18" i="7"/>
  <c r="O16" i="7"/>
  <c r="I14" i="7"/>
  <c r="L13" i="7"/>
  <c r="O12" i="7"/>
  <c r="H14" i="7"/>
  <c r="P15" i="7"/>
  <c r="P14" i="7"/>
  <c r="J15" i="7"/>
  <c r="I19" i="7"/>
  <c r="L17" i="7"/>
  <c r="K13" i="7"/>
  <c r="N12" i="7"/>
  <c r="M24" i="7"/>
  <c r="P23" i="7"/>
  <c r="J21" i="7"/>
  <c r="P19" i="7"/>
  <c r="M12" i="7"/>
  <c r="P13" i="7"/>
  <c r="H26" i="7"/>
  <c r="K25" i="7"/>
  <c r="N24" i="7"/>
  <c r="H22" i="7"/>
  <c r="K21" i="7"/>
  <c r="N20" i="7"/>
  <c r="H18" i="7"/>
  <c r="K17" i="7"/>
  <c r="N16" i="7"/>
  <c r="J25" i="7"/>
  <c r="M20" i="7"/>
  <c r="J17" i="7"/>
  <c r="M16" i="7"/>
  <c r="J12" i="7"/>
  <c r="J13" i="7"/>
  <c r="J16" i="7"/>
  <c r="O25" i="7"/>
  <c r="L22" i="7"/>
  <c r="O21" i="7"/>
  <c r="L18" i="7"/>
  <c r="I25" i="7"/>
  <c r="L24" i="7"/>
  <c r="O23" i="7"/>
  <c r="I21" i="7"/>
  <c r="L20" i="7"/>
  <c r="O19" i="7"/>
  <c r="I17" i="7"/>
  <c r="L16" i="7"/>
  <c r="O15" i="7"/>
  <c r="I13" i="7"/>
  <c r="L12" i="7"/>
  <c r="J24" i="7"/>
  <c r="M23" i="7"/>
  <c r="P22" i="7"/>
  <c r="J20" i="7"/>
  <c r="M19" i="7"/>
  <c r="P18" i="7"/>
  <c r="M15" i="7"/>
  <c r="M14" i="7"/>
  <c r="I23" i="7"/>
  <c r="O13" i="7"/>
  <c r="H25" i="7"/>
  <c r="K24" i="7"/>
  <c r="N23" i="7"/>
  <c r="H21" i="7"/>
  <c r="K20" i="7"/>
  <c r="N19" i="7"/>
  <c r="H17" i="7"/>
  <c r="K16" i="7"/>
  <c r="N15" i="7"/>
  <c r="H13" i="7"/>
  <c r="K12" i="7"/>
  <c r="P26" i="7"/>
  <c r="L26" i="7"/>
  <c r="O26" i="7"/>
  <c r="I24" i="7"/>
  <c r="L23" i="7"/>
  <c r="O22" i="7"/>
  <c r="I20" i="7"/>
  <c r="L19" i="7"/>
  <c r="O18" i="7"/>
  <c r="I16" i="7"/>
  <c r="L15" i="7"/>
  <c r="O14" i="7"/>
  <c r="I12" i="7"/>
  <c r="N22" i="7"/>
  <c r="N18" i="7"/>
  <c r="N14" i="7"/>
  <c r="H12" i="7"/>
  <c r="N26" i="7"/>
  <c r="H24" i="7"/>
  <c r="Q24" i="7" s="1"/>
  <c r="K23" i="7"/>
  <c r="H20" i="7"/>
  <c r="K19" i="7"/>
  <c r="H16" i="7"/>
  <c r="Q16" i="7" s="1"/>
  <c r="K15" i="7"/>
  <c r="L14" i="7"/>
  <c r="M26" i="7"/>
  <c r="P25" i="7"/>
  <c r="J23" i="7"/>
  <c r="M22" i="7"/>
  <c r="P21" i="7"/>
  <c r="J19" i="7"/>
  <c r="M18" i="7"/>
  <c r="P17" i="7"/>
  <c r="O17" i="7"/>
  <c r="I15" i="7"/>
  <c r="K26" i="7"/>
  <c r="N25" i="7"/>
  <c r="H23" i="7"/>
  <c r="K22" i="7"/>
  <c r="N21" i="7"/>
  <c r="H19" i="7"/>
  <c r="K18" i="7"/>
  <c r="N17" i="7"/>
  <c r="H15" i="7"/>
  <c r="K14" i="7"/>
  <c r="N13" i="7"/>
  <c r="Q13" i="7" s="1"/>
  <c r="N11" i="7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9" i="7" l="1"/>
  <c r="Q12" i="7"/>
  <c r="Q21" i="7"/>
  <c r="Q18" i="7"/>
  <c r="Q23" i="7"/>
  <c r="Q25" i="7"/>
  <c r="Q22" i="7"/>
  <c r="Q14" i="7"/>
  <c r="Q20" i="7"/>
  <c r="Q26" i="7"/>
  <c r="Q15" i="7"/>
  <c r="Q17" i="7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<sst xmlns="http://schemas.openxmlformats.org/spreadsheetml/2006/main" count="1398" uniqueCount="678">
  <si>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</si>
  <si>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</si>
  <si>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</si>
  <si>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</si>
  <si>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</si>
  <si>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</si>
  <si>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</si>
  <si>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</si>
  <si>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</si>
  <si>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</si>
  <si>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</si>
  <si>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</si>
  <si>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</si>
  <si>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</si>
  <si>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</si>
  <si>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</si>
  <si>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</si>
  <si>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</si>
  <si>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</si>
  <si>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</si>
  <si>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</si>
  <si>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</si>
  <si>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</si>
  <si>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</si>
  <si>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</si>
  <si>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</si>
  <si>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</si>
  <si>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</si>
  <si>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</si>
  <si>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</si>
  <si>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</si>
  <si>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</si>
  <si>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</si>
  <si>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</si>
  <si>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</si>
  <si>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</si>
  <si>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</si>
  <si>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</si>
  <si>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</si>
  <si>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</si>
  <si>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</si>
  <si>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</si>
  <si>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</si>
  <si>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</si>
  <si>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</si>
  <si>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</si>
  <si>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</si>
  <si>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</si>
  <si>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</si>
  <si>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</si>
  <si>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</si>
  <si>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</si>
  <si>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</si>
  <si>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</si>
  <si>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</si>
  <si>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</si>
  <si>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</si>
  <si>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</si>
  <si>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</si>
  <si>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</si>
  <si>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</si>
  <si>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</si>
  <si>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</si>
  <si>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</si>
  <si>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</si>
  <si>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</si>
  <si>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</si>
  <si>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</si>
  <si>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</si>
  <si>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</si>
  <si>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</si>
  <si>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</si>
  <si>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</si>
  <si>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</si>
  <si>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</si>
  <si>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</si>
  <si>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</si>
  <si>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</si>
  <si>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</si>
  <si>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</si>
  <si>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</si>
  <si>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</si>
  <si>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</si>
  <si>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</si>
  <si>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</si>
  <si>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</si>
  <si>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</si>
  <si>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</si>
  <si>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</si>
  <si>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</si>
  <si>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</si>
  <si>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</si>
  <si>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</si>
  <si>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</si>
  <si>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</si>
  <si>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</si>
  <si>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</si>
  <si>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</si>
  <si>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</si>
  <si>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</si>
  <si>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</si>
  <si>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</si>
  <si>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</si>
  <si>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</si>
  <si>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</si>
  <si>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</si>
  <si>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</si>
  <si>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</si>
  <si>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</si>
  <si>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</si>
  <si>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</si>
  <si>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</si>
  <si>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</si>
  <si>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</si>
  <si>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</si>
  <si>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</si>
  <si>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</si>
  <si>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</si>
  <si>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</si>
  <si>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</si>
  <si>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</si>
  <si>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</si>
  <si>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</si>
  <si>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</si>
  <si>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</si>
  <si>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</si>
  <si>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</si>
  <si>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</si>
  <si>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</si>
  <si>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</si>
  <si>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</si>
  <si>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</si>
  <si>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</si>
  <si>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</si>
  <si>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</si>
  <si>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</si>
  <si>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</si>
  <si>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</si>
  <si>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</si>
  <si>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</si>
  <si>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</si>
  <si>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</si>
  <si>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</si>
  <si>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</si>
  <si>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</si>
  <si>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</si>
  <si>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</si>
  <si>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</si>
  <si>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</si>
  <si>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</si>
  <si>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</si>
  <si>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</si>
  <si>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</si>
  <si>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</si>
  <si>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</si>
  <si>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</si>
  <si>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</si>
  <si>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</si>
  <si>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</si>
  <si>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</si>
  <si>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</si>
  <si>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</si>
  <si>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</si>
  <si>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</si>
  <si>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</si>
  <si>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</si>
  <si>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</si>
  <si>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</si>
  <si>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</si>
  <si>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</si>
  <si>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</si>
  <si>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</si>
  <si>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</si>
  <si>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</si>
  <si>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</si>
  <si>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</si>
  <si>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</si>
  <si>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</si>
  <si>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</si>
  <si>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</si>
  <si>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</si>
  <si>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</si>
  <si>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</si>
  <si>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</si>
  <si>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</si>
  <si>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</si>
  <si>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</si>
  <si>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</si>
  <si>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</si>
  <si>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</si>
  <si>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</si>
  <si>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</si>
  <si>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</si>
  <si>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</si>
  <si>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</si>
  <si>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</si>
  <si>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</si>
  <si>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</si>
  <si>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</si>
  <si>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</si>
  <si>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</si>
  <si>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</si>
  <si>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</si>
  <si>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</si>
  <si>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</si>
  <si>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</si>
  <si>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</si>
  <si>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</si>
  <si>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</si>
  <si>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</si>
  <si>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</si>
  <si>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</si>
  <si>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</si>
  <si>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</si>
  <si>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</si>
  <si>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</si>
  <si>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</si>
  <si>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</si>
  <si>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</si>
  <si>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</si>
  <si>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</si>
  <si>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</si>
  <si>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</si>
  <si>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</si>
  <si>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</si>
  <si>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</si>
  <si>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</si>
  <si>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</si>
  <si>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</si>
  <si>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</si>
  <si>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</si>
  <si>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</si>
  <si>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</si>
  <si>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</si>
  <si>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</si>
  <si>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</si>
  <si>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</si>
  <si>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</si>
  <si>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</si>
  <si>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</si>
  <si>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</si>
  <si>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</si>
  <si>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</si>
  <si>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</si>
  <si>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</si>
  <si>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</si>
  <si>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</si>
  <si>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</si>
  <si>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</si>
  <si>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</si>
  <si>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</si>
  <si>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</si>
  <si>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</si>
  <si>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</si>
  <si>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</si>
  <si>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</si>
  <si>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</si>
  <si>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</si>
  <si>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</si>
  <si>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</si>
  <si>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</si>
  <si>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</si>
  <si>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</si>
  <si>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</si>
  <si>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</si>
  <si>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</si>
  <si>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</si>
  <si>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</si>
  <si>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</si>
  <si>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</si>
  <si>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</si>
  <si>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</si>
  <si>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</si>
  <si>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</si>
  <si>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</si>
  <si>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</si>
  <si>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</si>
  <si>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</si>
  <si>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</si>
  <si>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</si>
  <si>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</si>
  <si>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</si>
  <si>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</si>
  <si>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</si>
  <si>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</si>
  <si>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</si>
  <si>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</si>
  <si>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</si>
  <si>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</si>
  <si>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</si>
  <si>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</si>
  <si>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</si>
  <si>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</si>
  <si>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</si>
  <si>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</si>
  <si>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</si>
  <si>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</si>
  <si>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</si>
  <si>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</si>
  <si>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</si>
  <si>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</si>
  <si>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</si>
  <si>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</si>
  <si>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</si>
  <si>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</si>
  <si>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</si>
  <si>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</si>
  <si>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</si>
  <si>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</si>
  <si>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</si>
  <si>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</si>
  <si>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</si>
  <si>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</si>
  <si>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</si>
  <si>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</si>
  <si>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</si>
  <si>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</si>
  <si>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</si>
  <si>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</si>
  <si>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</si>
  <si>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</si>
  <si>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</si>
  <si>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</si>
  <si>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</si>
  <si>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</si>
  <si>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</si>
  <si>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</si>
  <si>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</si>
  <si>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</si>
  <si>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</si>
  <si>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</si>
  <si>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</si>
  <si>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</si>
  <si>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</si>
  <si>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</si>
  <si>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</si>
  <si>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</si>
  <si>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</si>
  <si>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</si>
  <si>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</si>
  <si>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</si>
  <si>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</si>
  <si>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</si>
  <si>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</si>
  <si>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</si>
  <si>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</si>
  <si>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</si>
  <si>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</si>
  <si>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</si>
  <si>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</si>
  <si>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</si>
  <si>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</si>
  <si>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</si>
  <si>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</si>
  <si>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</si>
  <si>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</si>
  <si>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</si>
  <si>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</si>
  <si>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</si>
  <si>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</si>
  <si>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</si>
  <si>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</si>
  <si>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</si>
  <si>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</si>
  <si>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</si>
  <si>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</si>
  <si>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</si>
  <si>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</si>
  <si>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</si>
  <si>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</si>
  <si>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</si>
  <si>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</si>
  <si>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</si>
  <si>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</si>
  <si>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</si>
  <si>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</si>
  <si>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</si>
  <si>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</si>
  <si>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</si>
  <si>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</si>
  <si>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</si>
  <si>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</si>
  <si>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</si>
  <si>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</si>
  <si>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</si>
  <si>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</si>
  <si>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</si>
  <si>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</si>
  <si>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</si>
  <si>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</si>
  <si>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</si>
  <si>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</si>
  <si>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</si>
  <si>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</si>
  <si>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</si>
  <si>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</si>
  <si>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</si>
  <si>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</si>
  <si>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</si>
  <si>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</si>
  <si>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</si>
  <si>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</si>
  <si>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</si>
  <si>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</si>
  <si>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</si>
  <si>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</si>
  <si>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</si>
  <si>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</si>
  <si>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</si>
  <si>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</si>
  <si>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</si>
  <si>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</si>
  <si>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</si>
  <si>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</si>
  <si>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</si>
  <si>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</si>
  <si>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</si>
  <si>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</si>
  <si>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</si>
  <si>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</si>
  <si>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</si>
  <si>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</si>
  <si>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</si>
  <si>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</si>
  <si>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</si>
  <si>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</si>
  <si>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</si>
  <si>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</si>
  <si>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</si>
  <si>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</si>
  <si>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</si>
  <si>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</si>
  <si>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</si>
  <si>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</si>
  <si>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</si>
  <si>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</si>
  <si>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</si>
  <si>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</si>
  <si>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</si>
  <si>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</si>
  <si>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</si>
  <si>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</si>
  <si>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</si>
  <si>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</si>
  <si>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</si>
  <si>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</si>
  <si>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</si>
  <si>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</si>
  <si>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</si>
  <si>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</si>
  <si>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</si>
  <si>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</si>
  <si>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</si>
  <si>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</si>
  <si>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</si>
  <si>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</si>
  <si>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</si>
  <si>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</si>
  <si>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</si>
  <si>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</si>
  <si>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</si>
  <si>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</si>
  <si>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</si>
  <si>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</si>
  <si>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</si>
  <si>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</si>
  <si>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</si>
  <si>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</si>
  <si>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</si>
  <si>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</si>
  <si>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</si>
  <si>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</si>
  <si>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</si>
  <si>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</si>
  <si>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</si>
  <si>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</si>
  <si>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</si>
  <si>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</si>
  <si>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</si>
  <si>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</si>
  <si>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</si>
  <si>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</si>
  <si>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</si>
  <si>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</si>
  <si>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</si>
  <si>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</si>
  <si>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</si>
  <si>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</si>
  <si>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</si>
  <si>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</si>
  <si>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</si>
  <si>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</si>
  <si>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</si>
  <si>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</si>
  <si>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</si>
  <si>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</si>
  <si>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</si>
  <si>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</si>
  <si>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</si>
  <si>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</si>
  <si>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</si>
  <si>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</si>
  <si>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</si>
  <si>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</si>
  <si>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</si>
  <si>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</si>
  <si>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</si>
  <si>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</si>
  <si>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</si>
  <si>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</si>
  <si>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</si>
  <si>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</si>
  <si>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</si>
  <si>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</si>
  <si>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</si>
  <si>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</si>
  <si>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</si>
  <si>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</si>
  <si>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</si>
  <si>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</si>
  <si>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</si>
  <si>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</si>
  <si>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</si>
  <si>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</si>
  <si>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</si>
  <si>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</si>
  <si>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</si>
  <si>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</si>
  <si>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</si>
  <si>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</si>
  <si>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</si>
  <si>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</si>
  <si>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</si>
  <si>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</si>
  <si>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</si>
  <si>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</si>
  <si>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</si>
  <si>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</si>
  <si>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</si>
  <si>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</si>
  <si>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</si>
  <si>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</si>
  <si>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</si>
  <si>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</si>
  <si>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</si>
  <si>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</si>
  <si>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</si>
  <si>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</si>
  <si>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</si>
  <si>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</si>
  <si>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</si>
  <si>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</si>
  <si>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</si>
  <si>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</si>
  <si>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</si>
  <si>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</si>
  <si>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</si>
  <si>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</si>
  <si>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</si>
  <si>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</si>
  <si>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</si>
  <si>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</si>
  <si>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</si>
  <si>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</si>
  <si>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</si>
  <si>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</si>
  <si>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</si>
  <si>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</si>
  <si>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</si>
  <si>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</si>
  <si>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</si>
  <si>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</si>
  <si>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</si>
  <si>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</si>
  <si>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</si>
  <si>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</si>
  <si>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</si>
  <si>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</si>
  <si>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</si>
  <si>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</si>
  <si>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</si>
  <si>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</si>
  <si>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</si>
  <si>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</si>
  <si>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</si>
  <si>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</si>
  <si>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</si>
  <si>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</si>
  <si>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</si>
  <si>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</si>
  <si>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</si>
  <si>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</si>
  <si>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</si>
  <si>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</si>
  <si>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</si>
  <si>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</si>
  <si>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</si>
  <si>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</si>
  <si>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</si>
  <si>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</si>
  <si>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</si>
  <si>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</si>
  <si>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</si>
  <si>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</si>
  <si>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</si>
  <si>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</si>
  <si>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</si>
  <si>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</si>
  <si>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</si>
  <si>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</si>
  <si>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</si>
  <si>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</si>
  <si>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</si>
  <si>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</si>
  <si>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</si>
  <si>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</si>
  <si>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</si>
  <si>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</si>
  <si>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</si>
  <si>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</si>
  <si>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</si>
  <si>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</si>
  <si>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</si>
  <si>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</si>
  <si>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</si>
  <si>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</si>
  <si>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</si>
  <si>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</si>
  <si>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</si>
  <si>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</si>
  <si>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</si>
  <si>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</si>
  <si>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</si>
  <si>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</si>
  <si>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</si>
  <si>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</si>
  <si>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</si>
  <si>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</si>
  <si>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</si>
  <si>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</si>
  <si>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</si>
  <si>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</si>
  <si>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</si>
  <si>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</si>
  <si>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</si>
  <si>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</si>
  <si>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</si>
  <si>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</si>
  <si>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</si>
  <si>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</si>
  <si>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</si>
  <si>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</si>
  <si>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</si>
  <si>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</si>
  <si>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</si>
  <si>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</si>
  <si>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</si>
  <si>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Vlotho GmbH</t>
  </si>
  <si>
    <t>Weserstr.9</t>
  </si>
  <si>
    <t>Vlotho</t>
  </si>
  <si>
    <t>Team Netzbilanzierung</t>
  </si>
  <si>
    <t>netzbilanzierung@swlws.de</t>
  </si>
  <si>
    <t>05231 / 980 85 506</t>
  </si>
  <si>
    <t>Gasnetz Vlotho</t>
  </si>
  <si>
    <t>THE0NKL701014000</t>
  </si>
  <si>
    <t>Bückeburg (10335)</t>
  </si>
  <si>
    <t>DE_GBA03</t>
  </si>
  <si>
    <t>DE_GBH03</t>
  </si>
  <si>
    <t>DE_GKO03</t>
  </si>
  <si>
    <t>DE_GGB03</t>
  </si>
  <si>
    <t>DE_GGA03</t>
  </si>
  <si>
    <t>DE_GHA03</t>
  </si>
  <si>
    <t>DE_GMF03</t>
  </si>
  <si>
    <t>DE_GMK03</t>
  </si>
  <si>
    <t>DE_GPD03</t>
  </si>
  <si>
    <t>DE_GBD03</t>
  </si>
  <si>
    <t>DE_GHD03</t>
  </si>
  <si>
    <t>DE_GWA03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</si>
</sst>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6191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47466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ereich%20NB\Fischer\Bilanzierung%20Gas\SLP!\Lemgo\20200624_KoV-XII-SLP-Gas-Verfahrensspezifische-Parameter-Netzbetreiber_002_Lem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" sqref="D2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44835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44835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>
        <v>9870101400008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32602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Gasnetz Vlotho</v>
      </c>
      <c r="E28" s="38"/>
      <c r="F28" s="11"/>
      <c r="G28" s="2"/>
    </row>
    <row r="29" spans="1:15">
      <c r="B29" s="15"/>
      <c r="C29" s="22" t="s">
        <v>393</v>
      </c>
      <c r="D29" s="45" t="s">
        <v>663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3" sqref="D3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Vlotho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Gasnetz Vlotho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353">
        <f>Netzbetreiber!$D$11</f>
        <v>9870101400008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44835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625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 × F(opt)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Hinweis: dynamische Korrekturfaktoren sind tägl. als anwendungsspezif. Parameter bereitzustellen.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665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F8" sqref="F8"/>
    </sheetView>
  </sheetViews>
  <sheetFormatPr baseColWidth="10" defaultColWidth="0" defaultRowHeight="14.4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5" width="22" style="129" customWidth="1"/>
    <col min="6" max="14" width="12.6640625" style="129" customWidth="1"/>
    <col min="15" max="15" width="34.109375" style="129" customWidth="1"/>
    <col min="16" max="16" width="7.33203125" style="171" hidden="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4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657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Gasnetz Vlotho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353">
        <v>9870101400008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44835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 t="str">
        <f>INDEX('SLP-Verfahren'!D45:D59,'SLP-Temp-Gebiet #01'!F10)</f>
        <v>Bückeburg (10335)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6" t="s">
        <v>584</v>
      </c>
      <c r="D13" s="356"/>
      <c r="E13" s="356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7" t="s">
        <v>445</v>
      </c>
      <c r="D14" s="357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7" t="s">
        <v>385</v>
      </c>
      <c r="D15" s="357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502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502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MeteoGroup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665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10335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655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987010140000810335B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5.6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Bückeburg (10335)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10335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Individuelle GPT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f>F29</f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8" t="s">
        <v>580</v>
      </c>
      <c r="D73" s="358"/>
      <c r="E73" s="358"/>
      <c r="F73" s="358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6640625" style="129" customWidth="1"/>
    <col min="15" max="15" width="34.109375" style="129" customWidth="1"/>
    <col min="16" max="16" width="7.33203125" style="17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544</v>
      </c>
    </row>
    <row r="3" spans="1:56" ht="15" customHeight="1">
      <c r="B3" s="172"/>
    </row>
    <row r="4" spans="1:56" ht="14.4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 ht="14.4">
      <c r="B5" s="131"/>
      <c r="C5" s="56" t="s">
        <v>441</v>
      </c>
      <c r="D5" s="57"/>
      <c r="E5" s="58" t="str">
        <f>Netzbetreiber!D28</f>
        <v>Gasnetz Vlotho</v>
      </c>
      <c r="F5" s="131"/>
      <c r="G5" s="131"/>
      <c r="H5" s="131"/>
      <c r="M5" s="131"/>
      <c r="N5" s="131"/>
      <c r="O5" s="131"/>
    </row>
    <row r="6" spans="1:56" ht="14.4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4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4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 ht="14.4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 ht="14.4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 ht="14.4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ht="14.4"/>
    <row r="13" spans="1:56" ht="18" customHeight="1">
      <c r="B13" s="131"/>
      <c r="C13" s="356" t="s">
        <v>584</v>
      </c>
      <c r="D13" s="356"/>
      <c r="E13" s="356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7" t="s">
        <v>445</v>
      </c>
      <c r="D14" s="357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7" t="s">
        <v>385</v>
      </c>
      <c r="D15" s="357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4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4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4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4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4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4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4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4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4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4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4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4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4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 ht="14.4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4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4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4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4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4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4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4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4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4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4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 ht="14.4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4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4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4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4.4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4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4.4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4.4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 ht="14.4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4.4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ht="14.4"/>
    <row r="62" spans="2:28" ht="14.4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4.4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4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ht="14.4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ht="14.4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ht="14.4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ht="14.4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ht="14.4"/>
    <row r="72" spans="2:15" ht="15.75" customHeight="1">
      <c r="C72" s="358" t="s">
        <v>580</v>
      </c>
      <c r="D72" s="358"/>
      <c r="E72" s="358"/>
      <c r="F72" s="358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C5" sqref="C5"/>
    </sheetView>
  </sheetViews>
  <sheetFormatPr baseColWidth="10" defaultColWidth="0" defaultRowHeight="14.4" zeroHeight="1"/>
  <cols>
    <col min="1" max="1" width="2.88671875" style="129" customWidth="1"/>
    <col min="2" max="2" width="8" style="129" customWidth="1"/>
    <col min="3" max="3" width="37.44140625" style="129" customWidth="1"/>
    <col min="4" max="4" width="20.6640625" style="129" customWidth="1"/>
    <col min="5" max="6" width="11.44140625" style="129" customWidth="1"/>
    <col min="8" max="8" width="12.6640625" style="129" customWidth="1"/>
    <col min="9" max="9" width="15.44140625" style="129" customWidth="1"/>
    <col min="10" max="11" width="12.6640625" style="129" customWidth="1"/>
    <col min="12" max="12" width="11.44140625" style="129" customWidth="1"/>
    <col min="13" max="16" width="12.6640625" style="129" customWidth="1"/>
    <col min="17" max="17" width="14.109375" style="129" customWidth="1"/>
    <col min="18" max="24" width="11.44140625" style="129" customWidth="1"/>
    <col min="25" max="25" width="20.109375" style="129" customWidth="1"/>
    <col min="26" max="26" width="11.44140625" style="129" customWidth="1"/>
    <col min="27" max="16384" width="11.44140625" style="129" hidden="1"/>
  </cols>
  <sheetData>
    <row r="1" spans="2:26" ht="75" customHeight="1" thickBot="1"/>
    <row r="2" spans="2:26" ht="23.4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Vlotho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Gasnetz Vlotho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354">
        <f>Netzbetreiber!$D$11</f>
        <v>9870101400008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44835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3.8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Gasnetz Vlotho</v>
      </c>
      <c r="D12" s="63" t="s">
        <v>248</v>
      </c>
      <c r="E12" s="166" t="s">
        <v>666</v>
      </c>
      <c r="F12" s="308" t="str">
        <f>VLOOKUP($E12,'[1]BDEW-Standard'!$B$3:$M$158,F$9,0)</f>
        <v>BA3</v>
      </c>
      <c r="H12" s="279">
        <f>ROUND(VLOOKUP($E12,'BDEW-Standard'!$B$3:$M$158,H$9,0),7)</f>
        <v>0.62619619999999998</v>
      </c>
      <c r="I12" s="279">
        <f>ROUND(VLOOKUP($E12,'BDEW-Standard'!$B$3:$M$158,I$9,0),7)</f>
        <v>-33</v>
      </c>
      <c r="J12" s="279">
        <f>ROUND(VLOOKUP($E12,'BDEW-Standard'!$B$3:$M$158,J$9,0),7)</f>
        <v>5.7212303000000002</v>
      </c>
      <c r="K12" s="279">
        <f>ROUND(VLOOKUP($E12,'BDEW-Standard'!$B$3:$M$158,K$9,0),7)</f>
        <v>0.78556550000000003</v>
      </c>
      <c r="L12" s="280">
        <f>ROUND(VLOOKUP($E12,'BDEW-Standard'!$B$3:$M$158,L$9,0),1)</f>
        <v>40</v>
      </c>
      <c r="M12" s="279">
        <f>ROUND(VLOOKUP($E12,'BDEW-Standard'!$B$3:$M$158,M$9,0),7)</f>
        <v>0</v>
      </c>
      <c r="N12" s="279">
        <f>ROUND(VLOOKUP($E12,'BDEW-Standard'!$B$3:$M$158,N$9,0),7)</f>
        <v>0</v>
      </c>
      <c r="O12" s="279">
        <f>ROUND(VLOOKUP($E12,'BDEW-Standard'!$B$3:$M$158,O$9,0),7)</f>
        <v>0</v>
      </c>
      <c r="P12" s="279">
        <f>ROUND(VLOOKUP($E12,'BDEW-Standard'!$B$3:$M$158,P$9,0),7)</f>
        <v>0</v>
      </c>
      <c r="Q12" s="281">
        <f t="shared" ref="Q12:Q26" si="1">($H12/(1+($I12/($Q$9-$L12))^$J12)+$K12)+MAX($M12*$Q$9+$N12,$O12*$Q$9+$P12)</f>
        <v>1.0711738317583412</v>
      </c>
      <c r="R12" s="282">
        <f>ROUND(VLOOKUP(MID($E12,4,3),'Wochentag F(WT)'!$B$7:$J$22,R$9,0),4)</f>
        <v>1.0848</v>
      </c>
      <c r="S12" s="282">
        <f>ROUND(VLOOKUP(MID($E12,4,3),'Wochentag F(WT)'!$B$7:$J$22,S$9,0),4)</f>
        <v>1.1211</v>
      </c>
      <c r="T12" s="282">
        <f>ROUND(VLOOKUP(MID($E12,4,3),'Wochentag F(WT)'!$B$7:$J$22,T$9,0),4)</f>
        <v>1.0769</v>
      </c>
      <c r="U12" s="282">
        <f>ROUND(VLOOKUP(MID($E12,4,3),'Wochentag F(WT)'!$B$7:$J$22,U$9,0),4)</f>
        <v>1.1353</v>
      </c>
      <c r="V12" s="282">
        <f>ROUND(VLOOKUP(MID($E12,4,3),'Wochentag F(WT)'!$B$7:$J$22,V$9,0),4)</f>
        <v>1.1402000000000001</v>
      </c>
      <c r="W12" s="282">
        <f>ROUND(VLOOKUP(MID($E12,4,3),'Wochentag F(WT)'!$B$7:$J$22,W$9,0),4)</f>
        <v>0.48520000000000002</v>
      </c>
      <c r="X12" s="283">
        <f>7-SUM(R12:W12)</f>
        <v>0.95650000000000013</v>
      </c>
      <c r="Y12" s="304"/>
      <c r="Z12" s="213"/>
    </row>
    <row r="13" spans="2:26" s="144" customFormat="1">
      <c r="B13" s="145">
        <v>2</v>
      </c>
      <c r="C13" s="146" t="str">
        <f t="shared" si="0"/>
        <v>Gasnetz Vlotho</v>
      </c>
      <c r="D13" s="63" t="s">
        <v>248</v>
      </c>
      <c r="E13" s="166" t="s">
        <v>667</v>
      </c>
      <c r="F13" s="308" t="str">
        <f>VLOOKUP($E13,'[1]BDEW-Standard'!$B$3:$M$158,F$9,0)</f>
        <v>BH3</v>
      </c>
      <c r="H13" s="279">
        <f>ROUND(VLOOKUP($E13,'BDEW-Standard'!$B$3:$M$158,H$9,0),7)</f>
        <v>2.0102471999999998</v>
      </c>
      <c r="I13" s="279">
        <f>ROUND(VLOOKUP($E13,'BDEW-Standard'!$B$3:$M$158,I$9,0),7)</f>
        <v>-35.253212400000002</v>
      </c>
      <c r="J13" s="279">
        <f>ROUND(VLOOKUP($E13,'BDEW-Standard'!$B$3:$M$158,J$9,0),7)</f>
        <v>6.1544406</v>
      </c>
      <c r="K13" s="279">
        <f>ROUND(VLOOKUP($E13,'BDEW-Standard'!$B$3:$M$158,K$9,0),7)</f>
        <v>0.32947409999999999</v>
      </c>
      <c r="L13" s="280">
        <f>ROUND(VLOOKUP($E13,'BDEW-Standard'!$B$3:$M$158,L$9,0),1)</f>
        <v>40</v>
      </c>
      <c r="M13" s="279">
        <f>ROUND(VLOOKUP($E13,'BDEW-Standard'!$B$3:$M$158,M$9,0),7)</f>
        <v>0</v>
      </c>
      <c r="N13" s="279">
        <f>ROUND(VLOOKUP($E13,'BDEW-Standard'!$B$3:$M$158,N$9,0),7)</f>
        <v>0</v>
      </c>
      <c r="O13" s="279">
        <f>ROUND(VLOOKUP($E13,'BDEW-Standard'!$B$3:$M$158,O$9,0),7)</f>
        <v>0</v>
      </c>
      <c r="P13" s="279">
        <f>ROUND(VLOOKUP($E13,'BDEW-Standard'!$B$3:$M$158,P$9,0),7)</f>
        <v>0</v>
      </c>
      <c r="Q13" s="281">
        <f t="shared" si="1"/>
        <v>1.0436896084076008</v>
      </c>
      <c r="R13" s="282">
        <f>ROUND(VLOOKUP(MID($E13,4,3),'Wochentag F(WT)'!$B$7:$J$22,R$9,0),4)</f>
        <v>0.97670000000000001</v>
      </c>
      <c r="S13" s="282">
        <f>ROUND(VLOOKUP(MID($E13,4,3),'Wochentag F(WT)'!$B$7:$J$22,S$9,0),4)</f>
        <v>1.0388999999999999</v>
      </c>
      <c r="T13" s="282">
        <f>ROUND(VLOOKUP(MID($E13,4,3),'Wochentag F(WT)'!$B$7:$J$22,T$9,0),4)</f>
        <v>1.0027999999999999</v>
      </c>
      <c r="U13" s="282">
        <f>ROUND(VLOOKUP(MID($E13,4,3),'Wochentag F(WT)'!$B$7:$J$22,U$9,0),4)</f>
        <v>1.0162</v>
      </c>
      <c r="V13" s="282">
        <f>ROUND(VLOOKUP(MID($E13,4,3),'Wochentag F(WT)'!$B$7:$J$22,V$9,0),4)</f>
        <v>1.0024</v>
      </c>
      <c r="W13" s="282">
        <f>ROUND(VLOOKUP(MID($E13,4,3),'Wochentag F(WT)'!$B$7:$J$22,W$9,0),4)</f>
        <v>1.0043</v>
      </c>
      <c r="X13" s="283">
        <f t="shared" ref="X13:X26" si="2">7-SUM(R13:W13)</f>
        <v>0.95870000000000122</v>
      </c>
      <c r="Y13" s="304"/>
      <c r="Z13" s="213"/>
    </row>
    <row r="14" spans="2:26" s="144" customFormat="1">
      <c r="B14" s="145">
        <v>3</v>
      </c>
      <c r="C14" s="146" t="str">
        <f t="shared" si="0"/>
        <v>Gasnetz Vlotho</v>
      </c>
      <c r="D14" s="63" t="s">
        <v>248</v>
      </c>
      <c r="E14" s="166" t="s">
        <v>668</v>
      </c>
      <c r="F14" s="308" t="str">
        <f>VLOOKUP($E14,'[1]BDEW-Standard'!$B$3:$M$158,F$9,0)</f>
        <v>KO3</v>
      </c>
      <c r="H14" s="279">
        <f>ROUND(VLOOKUP($E14,'BDEW-Standard'!$B$3:$M$158,H$9,0),7)</f>
        <v>2.7172288</v>
      </c>
      <c r="I14" s="279">
        <f>ROUND(VLOOKUP($E14,'BDEW-Standard'!$B$3:$M$158,I$9,0),7)</f>
        <v>-35.141256300000002</v>
      </c>
      <c r="J14" s="279">
        <f>ROUND(VLOOKUP($E14,'BDEW-Standard'!$B$3:$M$158,J$9,0),7)</f>
        <v>7.1303394999999998</v>
      </c>
      <c r="K14" s="279">
        <f>ROUND(VLOOKUP($E14,'BDEW-Standard'!$B$3:$M$158,K$9,0),7)</f>
        <v>0.14184720000000001</v>
      </c>
      <c r="L14" s="280">
        <f>ROUND(VLOOKUP($E14,'BDEW-Standard'!$B$3:$M$158,L$9,0),1)</f>
        <v>40</v>
      </c>
      <c r="M14" s="279">
        <f>ROUND(VLOOKUP($E14,'BDEW-Standard'!$B$3:$M$158,M$9,0),7)</f>
        <v>0</v>
      </c>
      <c r="N14" s="279">
        <f>ROUND(VLOOKUP($E14,'BDEW-Standard'!$B$3:$M$158,N$9,0),7)</f>
        <v>0</v>
      </c>
      <c r="O14" s="279">
        <f>ROUND(VLOOKUP($E14,'BDEW-Standard'!$B$3:$M$158,O$9,0),7)</f>
        <v>0</v>
      </c>
      <c r="P14" s="279">
        <f>ROUND(VLOOKUP($E14,'BDEW-Standard'!$B$3:$M$158,P$9,0),7)</f>
        <v>0</v>
      </c>
      <c r="Q14" s="281">
        <f t="shared" si="1"/>
        <v>1.0630299199876638</v>
      </c>
      <c r="R14" s="282">
        <f>ROUND(VLOOKUP(MID($E14,4,3),'Wochentag F(WT)'!$B$7:$J$22,R$9,0),4)</f>
        <v>1.0354000000000001</v>
      </c>
      <c r="S14" s="282">
        <f>ROUND(VLOOKUP(MID($E14,4,3),'Wochentag F(WT)'!$B$7:$J$22,S$9,0),4)</f>
        <v>1.0523</v>
      </c>
      <c r="T14" s="282">
        <f>ROUND(VLOOKUP(MID($E14,4,3),'Wochentag F(WT)'!$B$7:$J$22,T$9,0),4)</f>
        <v>1.0448999999999999</v>
      </c>
      <c r="U14" s="282">
        <f>ROUND(VLOOKUP(MID($E14,4,3),'Wochentag F(WT)'!$B$7:$J$22,U$9,0),4)</f>
        <v>1.0494000000000001</v>
      </c>
      <c r="V14" s="282">
        <f>ROUND(VLOOKUP(MID($E14,4,3),'Wochentag F(WT)'!$B$7:$J$22,V$9,0),4)</f>
        <v>0.98850000000000005</v>
      </c>
      <c r="W14" s="282">
        <f>ROUND(VLOOKUP(MID($E14,4,3),'Wochentag F(WT)'!$B$7:$J$22,W$9,0),4)</f>
        <v>0.88600000000000001</v>
      </c>
      <c r="X14" s="283">
        <f t="shared" si="2"/>
        <v>0.94349999999999934</v>
      </c>
      <c r="Y14" s="304"/>
      <c r="Z14" s="213"/>
    </row>
    <row r="15" spans="2:26" s="144" customFormat="1">
      <c r="B15" s="145">
        <v>4</v>
      </c>
      <c r="C15" s="146" t="str">
        <f t="shared" si="0"/>
        <v>Gasnetz Vlotho</v>
      </c>
      <c r="D15" s="63" t="s">
        <v>248</v>
      </c>
      <c r="E15" s="166" t="s">
        <v>21</v>
      </c>
      <c r="F15" s="308" t="str">
        <f>VLOOKUP($E15,'[1]BDEW-Standard'!$B$3:$M$158,F$9,0)</f>
        <v>N13</v>
      </c>
      <c r="H15" s="279">
        <f>ROUND(VLOOKUP($E15,'BDEW-Standard'!$B$3:$M$158,H$9,0),7)</f>
        <v>3.0553842000000002</v>
      </c>
      <c r="I15" s="279">
        <f>ROUND(VLOOKUP($E15,'BDEW-Standard'!$B$3:$M$158,I$9,0),7)</f>
        <v>-37.183637400000002</v>
      </c>
      <c r="J15" s="279">
        <f>ROUND(VLOOKUP($E15,'BDEW-Standard'!$B$3:$M$158,J$9,0),7)</f>
        <v>5.6810824999999996</v>
      </c>
      <c r="K15" s="279">
        <f>ROUND(VLOOKUP($E15,'BDEW-Standard'!$B$3:$M$158,K$9,0),7)</f>
        <v>8.2196599999999995E-2</v>
      </c>
      <c r="L15" s="280">
        <f>ROUND(VLOOKUP($E15,'BDEW-Standard'!$B$3:$M$158,L$9,0),1)</f>
        <v>40</v>
      </c>
      <c r="M15" s="279">
        <f>ROUND(VLOOKUP($E15,'BDEW-Standard'!$B$3:$M$158,M$9,0),7)</f>
        <v>0</v>
      </c>
      <c r="N15" s="279">
        <f>ROUND(VLOOKUP($E15,'BDEW-Standard'!$B$3:$M$158,N$9,0),7)</f>
        <v>0</v>
      </c>
      <c r="O15" s="279">
        <f>ROUND(VLOOKUP($E15,'BDEW-Standard'!$B$3:$M$158,O$9,0),7)</f>
        <v>0</v>
      </c>
      <c r="P15" s="279">
        <f>ROUND(VLOOKUP($E15,'BDEW-Standard'!$B$3:$M$158,P$9,0),7)</f>
        <v>0</v>
      </c>
      <c r="Q15" s="281">
        <f t="shared" si="1"/>
        <v>0.99521022916399493</v>
      </c>
      <c r="R15" s="282">
        <f>ROUND(VLOOKUP(MID($E15,4,3),'Wochentag F(WT)'!$B$7:$J$22,R$9,0),4)</f>
        <v>1</v>
      </c>
      <c r="S15" s="282">
        <f>ROUND(VLOOKUP(MID($E15,4,3),'Wochentag F(WT)'!$B$7:$J$22,S$9,0),4)</f>
        <v>1</v>
      </c>
      <c r="T15" s="282">
        <f>ROUND(VLOOKUP(MID($E15,4,3),'Wochentag F(WT)'!$B$7:$J$22,T$9,0),4)</f>
        <v>1</v>
      </c>
      <c r="U15" s="282">
        <f>ROUND(VLOOKUP(MID($E15,4,3),'Wochentag F(WT)'!$B$7:$J$22,U$9,0),4)</f>
        <v>1</v>
      </c>
      <c r="V15" s="282">
        <f>ROUND(VLOOKUP(MID($E15,4,3),'Wochentag F(WT)'!$B$7:$J$22,V$9,0),4)</f>
        <v>1</v>
      </c>
      <c r="W15" s="282">
        <f>ROUND(VLOOKUP(MID($E15,4,3),'Wochentag F(WT)'!$B$7:$J$22,W$9,0),4)</f>
        <v>1</v>
      </c>
      <c r="X15" s="283">
        <f t="shared" si="2"/>
        <v>1</v>
      </c>
      <c r="Y15" s="304"/>
      <c r="Z15" s="213"/>
    </row>
    <row r="16" spans="2:26" s="144" customFormat="1">
      <c r="B16" s="145">
        <v>5</v>
      </c>
      <c r="C16" s="146" t="str">
        <f t="shared" si="0"/>
        <v>Gasnetz Vlotho</v>
      </c>
      <c r="D16" s="63" t="s">
        <v>248</v>
      </c>
      <c r="E16" s="166" t="s">
        <v>669</v>
      </c>
      <c r="F16" s="308" t="str">
        <f>VLOOKUP($E16,'[1]BDEW-Standard'!$B$3:$M$158,F$9,0)</f>
        <v>GB3</v>
      </c>
      <c r="H16" s="279">
        <f>ROUND(VLOOKUP($E16,'BDEW-Standard'!$B$3:$M$158,H$9,0),7)</f>
        <v>3.2572741999999999</v>
      </c>
      <c r="I16" s="279">
        <f>ROUND(VLOOKUP($E16,'BDEW-Standard'!$B$3:$M$158,I$9,0),7)</f>
        <v>-37.5</v>
      </c>
      <c r="J16" s="279">
        <f>ROUND(VLOOKUP($E16,'BDEW-Standard'!$B$3:$M$158,J$9,0),7)</f>
        <v>6.3462148000000003</v>
      </c>
      <c r="K16" s="279">
        <f>ROUND(VLOOKUP($E16,'BDEW-Standard'!$B$3:$M$158,K$9,0),7)</f>
        <v>8.6622699999999997E-2</v>
      </c>
      <c r="L16" s="280">
        <f>ROUND(VLOOKUP($E16,'BDEW-Standard'!$B$3:$M$158,L$9,0),1)</f>
        <v>40</v>
      </c>
      <c r="M16" s="279">
        <f>ROUND(VLOOKUP($E16,'BDEW-Standard'!$B$3:$M$158,M$9,0),7)</f>
        <v>0</v>
      </c>
      <c r="N16" s="279">
        <f>ROUND(VLOOKUP($E16,'BDEW-Standard'!$B$3:$M$158,N$9,0),7)</f>
        <v>0</v>
      </c>
      <c r="O16" s="279">
        <f>ROUND(VLOOKUP($E16,'BDEW-Standard'!$B$3:$M$158,O$9,0),7)</f>
        <v>0</v>
      </c>
      <c r="P16" s="279">
        <f>ROUND(VLOOKUP($E16,'BDEW-Standard'!$B$3:$M$158,P$9,0),7)</f>
        <v>0</v>
      </c>
      <c r="Q16" s="281">
        <f t="shared" si="1"/>
        <v>0.9584556323619029</v>
      </c>
      <c r="R16" s="282">
        <f>ROUND(VLOOKUP(MID($E16,4,3),'Wochentag F(WT)'!$B$7:$J$22,R$9,0),4)</f>
        <v>0.98970000000000002</v>
      </c>
      <c r="S16" s="282">
        <f>ROUND(VLOOKUP(MID($E16,4,3),'Wochentag F(WT)'!$B$7:$J$22,S$9,0),4)</f>
        <v>0.9627</v>
      </c>
      <c r="T16" s="282">
        <f>ROUND(VLOOKUP(MID($E16,4,3),'Wochentag F(WT)'!$B$7:$J$22,T$9,0),4)</f>
        <v>1.0507</v>
      </c>
      <c r="U16" s="282">
        <f>ROUND(VLOOKUP(MID($E16,4,3),'Wochentag F(WT)'!$B$7:$J$22,U$9,0),4)</f>
        <v>1.0551999999999999</v>
      </c>
      <c r="V16" s="282">
        <f>ROUND(VLOOKUP(MID($E16,4,3),'Wochentag F(WT)'!$B$7:$J$22,V$9,0),4)</f>
        <v>1.0297000000000001</v>
      </c>
      <c r="W16" s="282">
        <f>ROUND(VLOOKUP(MID($E16,4,3),'Wochentag F(WT)'!$B$7:$J$22,W$9,0),4)</f>
        <v>0.97670000000000001</v>
      </c>
      <c r="X16" s="283">
        <f t="shared" si="2"/>
        <v>0.9352999999999998</v>
      </c>
      <c r="Y16" s="304"/>
      <c r="Z16" s="213"/>
    </row>
    <row r="17" spans="2:26" s="144" customFormat="1">
      <c r="B17" s="145">
        <v>6</v>
      </c>
      <c r="C17" s="146" t="str">
        <f t="shared" si="0"/>
        <v>Gasnetz Vlotho</v>
      </c>
      <c r="D17" s="63" t="s">
        <v>248</v>
      </c>
      <c r="E17" s="166" t="s">
        <v>670</v>
      </c>
      <c r="F17" s="308" t="str">
        <f>VLOOKUP($E17,'[1]BDEW-Standard'!$B$3:$M$158,F$9,0)</f>
        <v>GA3</v>
      </c>
      <c r="H17" s="279">
        <f>ROUND(VLOOKUP($E17,'BDEW-Standard'!$B$3:$M$158,H$9,0),7)</f>
        <v>2.2850164999999998</v>
      </c>
      <c r="I17" s="279">
        <f>ROUND(VLOOKUP($E17,'BDEW-Standard'!$B$3:$M$158,I$9,0),7)</f>
        <v>-36.287858399999998</v>
      </c>
      <c r="J17" s="279">
        <f>ROUND(VLOOKUP($E17,'BDEW-Standard'!$B$3:$M$158,J$9,0),7)</f>
        <v>6.5885125999999996</v>
      </c>
      <c r="K17" s="279">
        <f>ROUND(VLOOKUP($E17,'BDEW-Standard'!$B$3:$M$158,K$9,0),7)</f>
        <v>0.31505349999999999</v>
      </c>
      <c r="L17" s="280">
        <f>ROUND(VLOOKUP($E17,'BDEW-Standard'!$B$3:$M$158,L$9,0),1)</f>
        <v>40</v>
      </c>
      <c r="M17" s="279">
        <f>ROUND(VLOOKUP($E17,'BDEW-Standard'!$B$3:$M$158,M$9,0),7)</f>
        <v>0</v>
      </c>
      <c r="N17" s="279">
        <f>ROUND(VLOOKUP($E17,'BDEW-Standard'!$B$3:$M$158,N$9,0),7)</f>
        <v>0</v>
      </c>
      <c r="O17" s="279">
        <f>ROUND(VLOOKUP($E17,'BDEW-Standard'!$B$3:$M$158,O$9,0),7)</f>
        <v>0</v>
      </c>
      <c r="P17" s="279">
        <f>ROUND(VLOOKUP($E17,'BDEW-Standard'!$B$3:$M$158,P$9,0),7)</f>
        <v>0</v>
      </c>
      <c r="Q17" s="281">
        <f t="shared" si="1"/>
        <v>1.0096183914256316</v>
      </c>
      <c r="R17" s="282">
        <f>ROUND(VLOOKUP(MID($E17,4,3),'Wochentag F(WT)'!$B$7:$J$22,R$9,0),4)</f>
        <v>0.93220000000000003</v>
      </c>
      <c r="S17" s="282">
        <f>ROUND(VLOOKUP(MID($E17,4,3),'Wochentag F(WT)'!$B$7:$J$22,S$9,0),4)</f>
        <v>0.98939999999999995</v>
      </c>
      <c r="T17" s="282">
        <f>ROUND(VLOOKUP(MID($E17,4,3),'Wochentag F(WT)'!$B$7:$J$22,T$9,0),4)</f>
        <v>1.0033000000000001</v>
      </c>
      <c r="U17" s="282">
        <f>ROUND(VLOOKUP(MID($E17,4,3),'Wochentag F(WT)'!$B$7:$J$22,U$9,0),4)</f>
        <v>1.0108999999999999</v>
      </c>
      <c r="V17" s="282">
        <f>ROUND(VLOOKUP(MID($E17,4,3),'Wochentag F(WT)'!$B$7:$J$22,V$9,0),4)</f>
        <v>1.018</v>
      </c>
      <c r="W17" s="282">
        <f>ROUND(VLOOKUP(MID($E17,4,3),'Wochentag F(WT)'!$B$7:$J$22,W$9,0),4)</f>
        <v>1.0356000000000001</v>
      </c>
      <c r="X17" s="283">
        <f t="shared" si="2"/>
        <v>1.0106000000000002</v>
      </c>
      <c r="Y17" s="304"/>
      <c r="Z17" s="213"/>
    </row>
    <row r="18" spans="2:26" s="144" customFormat="1">
      <c r="B18" s="145">
        <v>7</v>
      </c>
      <c r="C18" s="146" t="str">
        <f t="shared" si="0"/>
        <v>Gasnetz Vlotho</v>
      </c>
      <c r="D18" s="63" t="s">
        <v>248</v>
      </c>
      <c r="E18" s="166" t="s">
        <v>671</v>
      </c>
      <c r="F18" s="308" t="str">
        <f>VLOOKUP($E18,'[1]BDEW-Standard'!$B$3:$M$158,F$9,0)</f>
        <v>HA3</v>
      </c>
      <c r="H18" s="279">
        <f>ROUND(VLOOKUP($E18,'BDEW-Standard'!$B$3:$M$158,H$9,0),7)</f>
        <v>3.5811213999999998</v>
      </c>
      <c r="I18" s="279">
        <f>ROUND(VLOOKUP($E18,'BDEW-Standard'!$B$3:$M$158,I$9,0),7)</f>
        <v>-36.965006500000001</v>
      </c>
      <c r="J18" s="279">
        <f>ROUND(VLOOKUP($E18,'BDEW-Standard'!$B$3:$M$158,J$9,0),7)</f>
        <v>7.2256947</v>
      </c>
      <c r="K18" s="279">
        <f>ROUND(VLOOKUP($E18,'BDEW-Standard'!$B$3:$M$158,K$9,0),7)</f>
        <v>4.4841600000000002E-2</v>
      </c>
      <c r="L18" s="280">
        <f>ROUND(VLOOKUP($E18,'BDEW-Standard'!$B$3:$M$158,L$9,0),1)</f>
        <v>40</v>
      </c>
      <c r="M18" s="279">
        <f>ROUND(VLOOKUP($E18,'BDEW-Standard'!$B$3:$M$158,M$9,0),7)</f>
        <v>0</v>
      </c>
      <c r="N18" s="279">
        <f>ROUND(VLOOKUP($E18,'BDEW-Standard'!$B$3:$M$158,N$9,0),7)</f>
        <v>0</v>
      </c>
      <c r="O18" s="279">
        <f>ROUND(VLOOKUP($E18,'BDEW-Standard'!$B$3:$M$158,O$9,0),7)</f>
        <v>0</v>
      </c>
      <c r="P18" s="279">
        <f>ROUND(VLOOKUP($E18,'BDEW-Standard'!$B$3:$M$158,P$9,0),7)</f>
        <v>0</v>
      </c>
      <c r="Q18" s="281">
        <f t="shared" si="1"/>
        <v>0.97852945357176691</v>
      </c>
      <c r="R18" s="282">
        <f>ROUND(VLOOKUP(MID($E18,4,3),'Wochentag F(WT)'!$B$7:$J$22,R$9,0),4)</f>
        <v>1.0358000000000001</v>
      </c>
      <c r="S18" s="282">
        <f>ROUND(VLOOKUP(MID($E18,4,3),'Wochentag F(WT)'!$B$7:$J$22,S$9,0),4)</f>
        <v>1.0232000000000001</v>
      </c>
      <c r="T18" s="282">
        <f>ROUND(VLOOKUP(MID($E18,4,3),'Wochentag F(WT)'!$B$7:$J$22,T$9,0),4)</f>
        <v>1.0251999999999999</v>
      </c>
      <c r="U18" s="282">
        <f>ROUND(VLOOKUP(MID($E18,4,3),'Wochentag F(WT)'!$B$7:$J$22,U$9,0),4)</f>
        <v>1.0295000000000001</v>
      </c>
      <c r="V18" s="282">
        <f>ROUND(VLOOKUP(MID($E18,4,3),'Wochentag F(WT)'!$B$7:$J$22,V$9,0),4)</f>
        <v>1.0253000000000001</v>
      </c>
      <c r="W18" s="282">
        <f>ROUND(VLOOKUP(MID($E18,4,3),'Wochentag F(WT)'!$B$7:$J$22,W$9,0),4)</f>
        <v>0.96750000000000003</v>
      </c>
      <c r="X18" s="283">
        <f t="shared" si="2"/>
        <v>0.89350000000000041</v>
      </c>
      <c r="Y18" s="304"/>
      <c r="Z18" s="213"/>
    </row>
    <row r="19" spans="2:26" s="144" customFormat="1">
      <c r="B19" s="145">
        <v>8</v>
      </c>
      <c r="C19" s="146" t="str">
        <f t="shared" si="0"/>
        <v>Gasnetz Vlotho</v>
      </c>
      <c r="D19" s="63" t="s">
        <v>248</v>
      </c>
      <c r="E19" s="166" t="s">
        <v>672</v>
      </c>
      <c r="F19" s="308" t="str">
        <f>VLOOKUP($E19,'[1]BDEW-Standard'!$B$3:$M$158,F$9,0)</f>
        <v>MF3</v>
      </c>
      <c r="H19" s="279">
        <f>ROUND(VLOOKUP($E19,'BDEW-Standard'!$B$3:$M$158,H$9,0),7)</f>
        <v>2.3877617999999998</v>
      </c>
      <c r="I19" s="279">
        <f>ROUND(VLOOKUP($E19,'BDEW-Standard'!$B$3:$M$158,I$9,0),7)</f>
        <v>-34.721360500000003</v>
      </c>
      <c r="J19" s="279">
        <f>ROUND(VLOOKUP($E19,'BDEW-Standard'!$B$3:$M$158,J$9,0),7)</f>
        <v>5.8164303999999998</v>
      </c>
      <c r="K19" s="279">
        <f>ROUND(VLOOKUP($E19,'BDEW-Standard'!$B$3:$M$158,K$9,0),7)</f>
        <v>0.12081939999999999</v>
      </c>
      <c r="L19" s="280">
        <f>ROUND(VLOOKUP($E19,'BDEW-Standard'!$B$3:$M$158,L$9,0),1)</f>
        <v>40</v>
      </c>
      <c r="M19" s="279">
        <f>ROUND(VLOOKUP($E19,'BDEW-Standard'!$B$3:$M$158,M$9,0),7)</f>
        <v>0</v>
      </c>
      <c r="N19" s="279">
        <f>ROUND(VLOOKUP($E19,'BDEW-Standard'!$B$3:$M$158,N$9,0),7)</f>
        <v>0</v>
      </c>
      <c r="O19" s="279">
        <f>ROUND(VLOOKUP($E19,'BDEW-Standard'!$B$3:$M$158,O$9,0),7)</f>
        <v>0</v>
      </c>
      <c r="P19" s="279">
        <f>ROUND(VLOOKUP($E19,'BDEW-Standard'!$B$3:$M$158,P$9,0),7)</f>
        <v>0</v>
      </c>
      <c r="Q19" s="281">
        <f t="shared" si="1"/>
        <v>1.0365184142102302</v>
      </c>
      <c r="R19" s="282">
        <f>ROUND(VLOOKUP(MID($E19,4,3),'Wochentag F(WT)'!$B$7:$J$22,R$9,0),4)</f>
        <v>1.0354000000000001</v>
      </c>
      <c r="S19" s="282">
        <f>ROUND(VLOOKUP(MID($E19,4,3),'Wochentag F(WT)'!$B$7:$J$22,S$9,0),4)</f>
        <v>1.0523</v>
      </c>
      <c r="T19" s="282">
        <f>ROUND(VLOOKUP(MID($E19,4,3),'Wochentag F(WT)'!$B$7:$J$22,T$9,0),4)</f>
        <v>1.0448999999999999</v>
      </c>
      <c r="U19" s="282">
        <f>ROUND(VLOOKUP(MID($E19,4,3),'Wochentag F(WT)'!$B$7:$J$22,U$9,0),4)</f>
        <v>1.0494000000000001</v>
      </c>
      <c r="V19" s="282">
        <f>ROUND(VLOOKUP(MID($E19,4,3),'Wochentag F(WT)'!$B$7:$J$22,V$9,0),4)</f>
        <v>0.98850000000000005</v>
      </c>
      <c r="W19" s="282">
        <f>ROUND(VLOOKUP(MID($E19,4,3),'Wochentag F(WT)'!$B$7:$J$22,W$9,0),4)</f>
        <v>0.88600000000000001</v>
      </c>
      <c r="X19" s="283">
        <f t="shared" si="2"/>
        <v>0.94349999999999934</v>
      </c>
      <c r="Y19" s="304"/>
      <c r="Z19" s="213"/>
    </row>
    <row r="20" spans="2:26" s="144" customFormat="1">
      <c r="B20" s="145">
        <v>9</v>
      </c>
      <c r="C20" s="146" t="str">
        <f t="shared" si="0"/>
        <v>Gasnetz Vlotho</v>
      </c>
      <c r="D20" s="63" t="s">
        <v>248</v>
      </c>
      <c r="E20" s="166" t="s">
        <v>4</v>
      </c>
      <c r="F20" s="308" t="str">
        <f>VLOOKUP($E20,'[1]BDEW-Standard'!$B$3:$M$158,F$9,0)</f>
        <v>HK3</v>
      </c>
      <c r="H20" s="279">
        <f>ROUND(VLOOKUP($E20,'BDEW-Standard'!$B$3:$M$158,H$9,0),7)</f>
        <v>0.40409319999999999</v>
      </c>
      <c r="I20" s="279">
        <f>ROUND(VLOOKUP($E20,'BDEW-Standard'!$B$3:$M$158,I$9,0),7)</f>
        <v>-24.439296800000001</v>
      </c>
      <c r="J20" s="279">
        <f>ROUND(VLOOKUP($E20,'BDEW-Standard'!$B$3:$M$158,J$9,0),7)</f>
        <v>6.5718174999999999</v>
      </c>
      <c r="K20" s="279">
        <f>ROUND(VLOOKUP($E20,'BDEW-Standard'!$B$3:$M$158,K$9,0),7)</f>
        <v>0.71077100000000004</v>
      </c>
      <c r="L20" s="280">
        <f>ROUND(VLOOKUP($E20,'BDEW-Standard'!$B$3:$M$158,L$9,0),1)</f>
        <v>40</v>
      </c>
      <c r="M20" s="279">
        <f>ROUND(VLOOKUP($E20,'BDEW-Standard'!$B$3:$M$158,M$9,0),7)</f>
        <v>0</v>
      </c>
      <c r="N20" s="279">
        <f>ROUND(VLOOKUP($E20,'BDEW-Standard'!$B$3:$M$158,N$9,0),7)</f>
        <v>0</v>
      </c>
      <c r="O20" s="279">
        <f>ROUND(VLOOKUP($E20,'BDEW-Standard'!$B$3:$M$158,O$9,0),7)</f>
        <v>0</v>
      </c>
      <c r="P20" s="279">
        <f>ROUND(VLOOKUP($E20,'BDEW-Standard'!$B$3:$M$158,P$9,0),7)</f>
        <v>0</v>
      </c>
      <c r="Q20" s="281">
        <f t="shared" si="1"/>
        <v>1.0561214000512988</v>
      </c>
      <c r="R20" s="282">
        <f>ROUND(VLOOKUP(MID($E20,4,3),'Wochentag F(WT)'!$B$7:$J$22,R$9,0),4)</f>
        <v>1</v>
      </c>
      <c r="S20" s="282">
        <f>ROUND(VLOOKUP(MID($E20,4,3),'Wochentag F(WT)'!$B$7:$J$22,S$9,0),4)</f>
        <v>1</v>
      </c>
      <c r="T20" s="282">
        <f>ROUND(VLOOKUP(MID($E20,4,3),'Wochentag F(WT)'!$B$7:$J$22,T$9,0),4)</f>
        <v>1</v>
      </c>
      <c r="U20" s="282">
        <f>ROUND(VLOOKUP(MID($E20,4,3),'Wochentag F(WT)'!$B$7:$J$22,U$9,0),4)</f>
        <v>1</v>
      </c>
      <c r="V20" s="282">
        <f>ROUND(VLOOKUP(MID($E20,4,3),'Wochentag F(WT)'!$B$7:$J$22,V$9,0),4)</f>
        <v>1</v>
      </c>
      <c r="W20" s="282">
        <f>ROUND(VLOOKUP(MID($E20,4,3),'Wochentag F(WT)'!$B$7:$J$22,W$9,0),4)</f>
        <v>1</v>
      </c>
      <c r="X20" s="283">
        <f t="shared" si="2"/>
        <v>1</v>
      </c>
      <c r="Y20" s="304"/>
      <c r="Z20" s="213"/>
    </row>
    <row r="21" spans="2:26" s="144" customFormat="1">
      <c r="B21" s="145">
        <v>10</v>
      </c>
      <c r="C21" s="146" t="str">
        <f t="shared" si="0"/>
        <v>Gasnetz Vlotho</v>
      </c>
      <c r="D21" s="63" t="s">
        <v>248</v>
      </c>
      <c r="E21" s="166" t="s">
        <v>673</v>
      </c>
      <c r="F21" s="308" t="str">
        <f>VLOOKUP($E21,'[1]BDEW-Standard'!$B$3:$M$158,F$9,0)</f>
        <v>MK3</v>
      </c>
      <c r="H21" s="279">
        <f>ROUND(VLOOKUP($E21,'BDEW-Standard'!$B$3:$M$158,H$9,0),7)</f>
        <v>2.7882424000000001</v>
      </c>
      <c r="I21" s="279">
        <f>ROUND(VLOOKUP($E21,'BDEW-Standard'!$B$3:$M$158,I$9,0),7)</f>
        <v>-34.880612999999997</v>
      </c>
      <c r="J21" s="279">
        <f>ROUND(VLOOKUP($E21,'BDEW-Standard'!$B$3:$M$158,J$9,0),7)</f>
        <v>6.5951899000000003</v>
      </c>
      <c r="K21" s="279">
        <f>ROUND(VLOOKUP($E21,'BDEW-Standard'!$B$3:$M$158,K$9,0),7)</f>
        <v>5.4032900000000002E-2</v>
      </c>
      <c r="L21" s="280">
        <f>ROUND(VLOOKUP($E21,'BDEW-Standard'!$B$3:$M$158,L$9,0),1)</f>
        <v>40</v>
      </c>
      <c r="M21" s="279">
        <f>ROUND(VLOOKUP($E21,'BDEW-Standard'!$B$3:$M$158,M$9,0),7)</f>
        <v>0</v>
      </c>
      <c r="N21" s="279">
        <f>ROUND(VLOOKUP($E21,'BDEW-Standard'!$B$3:$M$158,N$9,0),7)</f>
        <v>0</v>
      </c>
      <c r="O21" s="279">
        <f>ROUND(VLOOKUP($E21,'BDEW-Standard'!$B$3:$M$158,O$9,0),7)</f>
        <v>0</v>
      </c>
      <c r="P21" s="279">
        <f>ROUND(VLOOKUP($E21,'BDEW-Standard'!$B$3:$M$158,P$9,0),7)</f>
        <v>0</v>
      </c>
      <c r="Q21" s="281">
        <f t="shared" si="1"/>
        <v>1.0622306107520199</v>
      </c>
      <c r="R21" s="282">
        <f>ROUND(VLOOKUP(MID($E21,4,3),'Wochentag F(WT)'!$B$7:$J$22,R$9,0),4)</f>
        <v>1.0699000000000001</v>
      </c>
      <c r="S21" s="282">
        <f>ROUND(VLOOKUP(MID($E21,4,3),'Wochentag F(WT)'!$B$7:$J$22,S$9,0),4)</f>
        <v>1.0365</v>
      </c>
      <c r="T21" s="282">
        <f>ROUND(VLOOKUP(MID($E21,4,3),'Wochentag F(WT)'!$B$7:$J$22,T$9,0),4)</f>
        <v>0.99329999999999996</v>
      </c>
      <c r="U21" s="282">
        <f>ROUND(VLOOKUP(MID($E21,4,3),'Wochentag F(WT)'!$B$7:$J$22,U$9,0),4)</f>
        <v>0.99480000000000002</v>
      </c>
      <c r="V21" s="282">
        <f>ROUND(VLOOKUP(MID($E21,4,3),'Wochentag F(WT)'!$B$7:$J$22,V$9,0),4)</f>
        <v>1.0659000000000001</v>
      </c>
      <c r="W21" s="282">
        <f>ROUND(VLOOKUP(MID($E21,4,3),'Wochentag F(WT)'!$B$7:$J$22,W$9,0),4)</f>
        <v>0.93620000000000003</v>
      </c>
      <c r="X21" s="283">
        <f t="shared" si="2"/>
        <v>0.90339999999999954</v>
      </c>
      <c r="Y21" s="304"/>
      <c r="Z21" s="213"/>
    </row>
    <row r="22" spans="2:26" s="144" customFormat="1">
      <c r="B22" s="145">
        <v>11</v>
      </c>
      <c r="C22" s="146" t="str">
        <f t="shared" si="0"/>
        <v>Gasnetz Vlotho</v>
      </c>
      <c r="D22" s="63" t="s">
        <v>248</v>
      </c>
      <c r="E22" s="166" t="s">
        <v>29</v>
      </c>
      <c r="F22" s="308" t="str">
        <f>VLOOKUP($E22,'[1]BDEW-Standard'!$B$3:$M$158,F$9,0)</f>
        <v>N23</v>
      </c>
      <c r="H22" s="279">
        <f>ROUND(VLOOKUP($E22,'BDEW-Standard'!$B$3:$M$158,H$9,0),7)</f>
        <v>2.3987552000000001</v>
      </c>
      <c r="I22" s="279">
        <f>ROUND(VLOOKUP($E22,'BDEW-Standard'!$B$3:$M$158,I$9,0),7)</f>
        <v>-34.723487800000001</v>
      </c>
      <c r="J22" s="279">
        <f>ROUND(VLOOKUP($E22,'BDEW-Standard'!$B$3:$M$158,J$9,0),7)</f>
        <v>5.7996445999999997</v>
      </c>
      <c r="K22" s="279">
        <f>ROUND(VLOOKUP($E22,'BDEW-Standard'!$B$3:$M$158,K$9,0),7)</f>
        <v>0.1016748</v>
      </c>
      <c r="L22" s="280">
        <f>ROUND(VLOOKUP($E22,'BDEW-Standard'!$B$3:$M$158,L$9,0),1)</f>
        <v>40</v>
      </c>
      <c r="M22" s="279">
        <f>ROUND(VLOOKUP($E22,'BDEW-Standard'!$B$3:$M$158,M$9,0),7)</f>
        <v>0</v>
      </c>
      <c r="N22" s="279">
        <f>ROUND(VLOOKUP($E22,'BDEW-Standard'!$B$3:$M$158,N$9,0),7)</f>
        <v>0</v>
      </c>
      <c r="O22" s="279">
        <f>ROUND(VLOOKUP($E22,'BDEW-Standard'!$B$3:$M$158,O$9,0),7)</f>
        <v>0</v>
      </c>
      <c r="P22" s="279">
        <f>ROUND(VLOOKUP($E22,'BDEW-Standard'!$B$3:$M$158,P$9,0),7)</f>
        <v>0</v>
      </c>
      <c r="Q22" s="281">
        <f t="shared" si="1"/>
        <v>1.0221652961614969</v>
      </c>
      <c r="R22" s="282">
        <f>ROUND(VLOOKUP(MID($E22,4,3),'Wochentag F(WT)'!$B$7:$J$22,R$9,0),4)</f>
        <v>1</v>
      </c>
      <c r="S22" s="282">
        <f>ROUND(VLOOKUP(MID($E22,4,3),'Wochentag F(WT)'!$B$7:$J$22,S$9,0),4)</f>
        <v>1</v>
      </c>
      <c r="T22" s="282">
        <f>ROUND(VLOOKUP(MID($E22,4,3),'Wochentag F(WT)'!$B$7:$J$22,T$9,0),4)</f>
        <v>1</v>
      </c>
      <c r="U22" s="282">
        <f>ROUND(VLOOKUP(MID($E22,4,3),'Wochentag F(WT)'!$B$7:$J$22,U$9,0),4)</f>
        <v>1</v>
      </c>
      <c r="V22" s="282">
        <f>ROUND(VLOOKUP(MID($E22,4,3),'Wochentag F(WT)'!$B$7:$J$22,V$9,0),4)</f>
        <v>1</v>
      </c>
      <c r="W22" s="282">
        <f>ROUND(VLOOKUP(MID($E22,4,3),'Wochentag F(WT)'!$B$7:$J$22,W$9,0),4)</f>
        <v>1</v>
      </c>
      <c r="X22" s="283">
        <f t="shared" si="2"/>
        <v>1</v>
      </c>
      <c r="Y22" s="304"/>
      <c r="Z22" s="213"/>
    </row>
    <row r="23" spans="2:26" s="144" customFormat="1">
      <c r="B23" s="145">
        <v>12</v>
      </c>
      <c r="C23" s="146" t="str">
        <f t="shared" si="0"/>
        <v>Gasnetz Vlotho</v>
      </c>
      <c r="D23" s="63" t="s">
        <v>248</v>
      </c>
      <c r="E23" s="166" t="s">
        <v>674</v>
      </c>
      <c r="F23" s="308" t="str">
        <f>VLOOKUP($E23,'[1]BDEW-Standard'!$B$3:$M$158,F$9,0)</f>
        <v>PD3</v>
      </c>
      <c r="H23" s="279">
        <f>ROUND(VLOOKUP($E23,'BDEW-Standard'!$B$3:$M$158,H$9,0),7)</f>
        <v>3.2</v>
      </c>
      <c r="I23" s="279">
        <f>ROUND(VLOOKUP($E23,'BDEW-Standard'!$B$3:$M$158,I$9,0),7)</f>
        <v>-35.799999999999997</v>
      </c>
      <c r="J23" s="279">
        <f>ROUND(VLOOKUP($E23,'BDEW-Standard'!$B$3:$M$158,J$9,0),7)</f>
        <v>8.4</v>
      </c>
      <c r="K23" s="279">
        <f>ROUND(VLOOKUP($E23,'BDEW-Standard'!$B$3:$M$158,K$9,0),7)</f>
        <v>9.3848600000000004E-2</v>
      </c>
      <c r="L23" s="280">
        <f>ROUND(VLOOKUP($E23,'BDEW-Standard'!$B$3:$M$158,L$9,0),1)</f>
        <v>40</v>
      </c>
      <c r="M23" s="279">
        <f>ROUND(VLOOKUP($E23,'BDEW-Standard'!$B$3:$M$158,M$9,0),7)</f>
        <v>0</v>
      </c>
      <c r="N23" s="279">
        <f>ROUND(VLOOKUP($E23,'BDEW-Standard'!$B$3:$M$158,N$9,0),7)</f>
        <v>0</v>
      </c>
      <c r="O23" s="279">
        <f>ROUND(VLOOKUP($E23,'BDEW-Standard'!$B$3:$M$158,O$9,0),7)</f>
        <v>0</v>
      </c>
      <c r="P23" s="279">
        <f>ROUND(VLOOKUP($E23,'BDEW-Standard'!$B$3:$M$158,P$9,0),7)</f>
        <v>0</v>
      </c>
      <c r="Q23" s="281">
        <f t="shared" si="1"/>
        <v>0.99106250024889242</v>
      </c>
      <c r="R23" s="282">
        <f>ROUND(VLOOKUP(MID($E23,4,3),'Wochentag F(WT)'!$B$7:$J$22,R$9,0),4)</f>
        <v>1.0214000000000001</v>
      </c>
      <c r="S23" s="282">
        <f>ROUND(VLOOKUP(MID($E23,4,3),'Wochentag F(WT)'!$B$7:$J$22,S$9,0),4)</f>
        <v>1.0866</v>
      </c>
      <c r="T23" s="282">
        <f>ROUND(VLOOKUP(MID($E23,4,3),'Wochentag F(WT)'!$B$7:$J$22,T$9,0),4)</f>
        <v>1.0720000000000001</v>
      </c>
      <c r="U23" s="282">
        <f>ROUND(VLOOKUP(MID($E23,4,3),'Wochentag F(WT)'!$B$7:$J$22,U$9,0),4)</f>
        <v>1.0557000000000001</v>
      </c>
      <c r="V23" s="282">
        <f>ROUND(VLOOKUP(MID($E23,4,3),'Wochentag F(WT)'!$B$7:$J$22,V$9,0),4)</f>
        <v>1.0117</v>
      </c>
      <c r="W23" s="282">
        <f>ROUND(VLOOKUP(MID($E23,4,3),'Wochentag F(WT)'!$B$7:$J$22,W$9,0),4)</f>
        <v>0.90010000000000001</v>
      </c>
      <c r="X23" s="283">
        <f t="shared" si="2"/>
        <v>0.85249999999999915</v>
      </c>
      <c r="Y23" s="304"/>
      <c r="Z23" s="213"/>
    </row>
    <row r="24" spans="2:26" s="144" customFormat="1">
      <c r="B24" s="145">
        <v>13</v>
      </c>
      <c r="C24" s="146" t="str">
        <f t="shared" si="0"/>
        <v>Gasnetz Vlotho</v>
      </c>
      <c r="D24" s="63" t="s">
        <v>248</v>
      </c>
      <c r="E24" s="166" t="s">
        <v>675</v>
      </c>
      <c r="F24" s="308" t="str">
        <f>VLOOKUP($E24,'[1]BDEW-Standard'!$B$3:$M$158,F$9,0)</f>
        <v>BD3</v>
      </c>
      <c r="H24" s="279">
        <f>ROUND(VLOOKUP($E24,'BDEW-Standard'!$B$3:$M$158,H$9,0),7)</f>
        <v>2.9177027</v>
      </c>
      <c r="I24" s="279">
        <f>ROUND(VLOOKUP($E24,'BDEW-Standard'!$B$3:$M$158,I$9,0),7)</f>
        <v>-36.179411700000003</v>
      </c>
      <c r="J24" s="279">
        <f>ROUND(VLOOKUP($E24,'BDEW-Standard'!$B$3:$M$158,J$9,0),7)</f>
        <v>5.9265162</v>
      </c>
      <c r="K24" s="279">
        <f>ROUND(VLOOKUP($E24,'BDEW-Standard'!$B$3:$M$158,K$9,0),7)</f>
        <v>0.11519119999999999</v>
      </c>
      <c r="L24" s="280">
        <f>ROUND(VLOOKUP($E24,'BDEW-Standard'!$B$3:$M$158,L$9,0),1)</f>
        <v>40</v>
      </c>
      <c r="M24" s="279">
        <f>ROUND(VLOOKUP($E24,'BDEW-Standard'!$B$3:$M$158,M$9,0),7)</f>
        <v>0</v>
      </c>
      <c r="N24" s="279">
        <f>ROUND(VLOOKUP($E24,'BDEW-Standard'!$B$3:$M$158,N$9,0),7)</f>
        <v>0</v>
      </c>
      <c r="O24" s="279">
        <f>ROUND(VLOOKUP($E24,'BDEW-Standard'!$B$3:$M$158,O$9,0),7)</f>
        <v>0</v>
      </c>
      <c r="P24" s="279">
        <f>ROUND(VLOOKUP($E24,'BDEW-Standard'!$B$3:$M$158,P$9,0),7)</f>
        <v>0</v>
      </c>
      <c r="Q24" s="281">
        <f t="shared" si="1"/>
        <v>1.0656106174494469</v>
      </c>
      <c r="R24" s="282">
        <f>ROUND(VLOOKUP(MID($E24,4,3),'Wochentag F(WT)'!$B$7:$J$22,R$9,0),4)</f>
        <v>1.1052</v>
      </c>
      <c r="S24" s="282">
        <f>ROUND(VLOOKUP(MID($E24,4,3),'Wochentag F(WT)'!$B$7:$J$22,S$9,0),4)</f>
        <v>1.0857000000000001</v>
      </c>
      <c r="T24" s="282">
        <f>ROUND(VLOOKUP(MID($E24,4,3),'Wochentag F(WT)'!$B$7:$J$22,T$9,0),4)</f>
        <v>1.0378000000000001</v>
      </c>
      <c r="U24" s="282">
        <f>ROUND(VLOOKUP(MID($E24,4,3),'Wochentag F(WT)'!$B$7:$J$22,U$9,0),4)</f>
        <v>1.0622</v>
      </c>
      <c r="V24" s="282">
        <f>ROUND(VLOOKUP(MID($E24,4,3),'Wochentag F(WT)'!$B$7:$J$22,V$9,0),4)</f>
        <v>1.0266</v>
      </c>
      <c r="W24" s="282">
        <f>ROUND(VLOOKUP(MID($E24,4,3),'Wochentag F(WT)'!$B$7:$J$22,W$9,0),4)</f>
        <v>0.76290000000000002</v>
      </c>
      <c r="X24" s="283">
        <f t="shared" si="2"/>
        <v>0.91959999999999997</v>
      </c>
      <c r="Y24" s="304"/>
      <c r="Z24" s="213"/>
    </row>
    <row r="25" spans="2:26" s="144" customFormat="1">
      <c r="B25" s="145">
        <v>14</v>
      </c>
      <c r="C25" s="146" t="str">
        <f t="shared" si="0"/>
        <v>Gasnetz Vlotho</v>
      </c>
      <c r="D25" s="63" t="s">
        <v>248</v>
      </c>
      <c r="E25" s="166" t="s">
        <v>676</v>
      </c>
      <c r="F25" s="308" t="str">
        <f>VLOOKUP($E25,'[1]BDEW-Standard'!$B$3:$M$158,F$9,0)</f>
        <v>HD3</v>
      </c>
      <c r="H25" s="279">
        <f>ROUND(VLOOKUP($E25,'BDEW-Standard'!$B$3:$M$158,H$9,0),7)</f>
        <v>2.5792510000000002</v>
      </c>
      <c r="I25" s="279">
        <f>ROUND(VLOOKUP($E25,'BDEW-Standard'!$B$3:$M$158,I$9,0),7)</f>
        <v>-35.681614400000001</v>
      </c>
      <c r="J25" s="279">
        <f>ROUND(VLOOKUP($E25,'BDEW-Standard'!$B$3:$M$158,J$9,0),7)</f>
        <v>6.6857975999999999</v>
      </c>
      <c r="K25" s="279">
        <f>ROUND(VLOOKUP($E25,'BDEW-Standard'!$B$3:$M$158,K$9,0),7)</f>
        <v>0.19955410000000001</v>
      </c>
      <c r="L25" s="280">
        <f>ROUND(VLOOKUP($E25,'BDEW-Standard'!$B$3:$M$158,L$9,0),1)</f>
        <v>40</v>
      </c>
      <c r="M25" s="279">
        <f>ROUND(VLOOKUP($E25,'BDEW-Standard'!$B$3:$M$158,M$9,0),7)</f>
        <v>0</v>
      </c>
      <c r="N25" s="279">
        <f>ROUND(VLOOKUP($E25,'BDEW-Standard'!$B$3:$M$158,N$9,0),7)</f>
        <v>0</v>
      </c>
      <c r="O25" s="279">
        <f>ROUND(VLOOKUP($E25,'BDEW-Standard'!$B$3:$M$158,O$9,0),7)</f>
        <v>0</v>
      </c>
      <c r="P25" s="279">
        <f>ROUND(VLOOKUP($E25,'BDEW-Standard'!$B$3:$M$158,P$9,0),7)</f>
        <v>0</v>
      </c>
      <c r="Q25" s="281">
        <f t="shared" si="1"/>
        <v>1.0393994293439688</v>
      </c>
      <c r="R25" s="282">
        <f>ROUND(VLOOKUP(MID($E25,4,3),'Wochentag F(WT)'!$B$7:$J$22,R$9,0),4)</f>
        <v>1.03</v>
      </c>
      <c r="S25" s="282">
        <f>ROUND(VLOOKUP(MID($E25,4,3),'Wochentag F(WT)'!$B$7:$J$22,S$9,0),4)</f>
        <v>1.03</v>
      </c>
      <c r="T25" s="282">
        <f>ROUND(VLOOKUP(MID($E25,4,3),'Wochentag F(WT)'!$B$7:$J$22,T$9,0),4)</f>
        <v>1.02</v>
      </c>
      <c r="U25" s="282">
        <f>ROUND(VLOOKUP(MID($E25,4,3),'Wochentag F(WT)'!$B$7:$J$22,U$9,0),4)</f>
        <v>1.03</v>
      </c>
      <c r="V25" s="282">
        <f>ROUND(VLOOKUP(MID($E25,4,3),'Wochentag F(WT)'!$B$7:$J$22,V$9,0),4)</f>
        <v>1.01</v>
      </c>
      <c r="W25" s="282">
        <f>ROUND(VLOOKUP(MID($E25,4,3),'Wochentag F(WT)'!$B$7:$J$22,W$9,0),4)</f>
        <v>0.93</v>
      </c>
      <c r="X25" s="283">
        <f t="shared" si="2"/>
        <v>0.95000000000000018</v>
      </c>
      <c r="Y25" s="304"/>
      <c r="Z25" s="213"/>
    </row>
    <row r="26" spans="2:26" s="144" customFormat="1">
      <c r="B26" s="145">
        <v>15</v>
      </c>
      <c r="C26" s="146" t="str">
        <f t="shared" si="0"/>
        <v>Gasnetz Vlotho</v>
      </c>
      <c r="D26" s="63" t="s">
        <v>248</v>
      </c>
      <c r="E26" s="166" t="s">
        <v>677</v>
      </c>
      <c r="F26" s="308" t="str">
        <f>VLOOKUP($E26,'[1]BDEW-Standard'!$B$3:$M$158,F$9,0)</f>
        <v>WA3</v>
      </c>
      <c r="H26" s="279">
        <f>ROUND(VLOOKUP($E26,'BDEW-Standard'!$B$3:$M$158,H$9,0),7)</f>
        <v>0.76572899999999999</v>
      </c>
      <c r="I26" s="279">
        <f>ROUND(VLOOKUP($E26,'BDEW-Standard'!$B$3:$M$158,I$9,0),7)</f>
        <v>-36.023791199999998</v>
      </c>
      <c r="J26" s="279">
        <f>ROUND(VLOOKUP($E26,'BDEW-Standard'!$B$3:$M$158,J$9,0),7)</f>
        <v>4.8662747</v>
      </c>
      <c r="K26" s="279">
        <f>ROUND(VLOOKUP($E26,'BDEW-Standard'!$B$3:$M$158,K$9,0),7)</f>
        <v>0.80494250000000001</v>
      </c>
      <c r="L26" s="280">
        <f>ROUND(VLOOKUP($E26,'BDEW-Standard'!$B$3:$M$158,L$9,0),1)</f>
        <v>40</v>
      </c>
      <c r="M26" s="279">
        <f>ROUND(VLOOKUP($E26,'BDEW-Standard'!$B$3:$M$158,M$9,0),7)</f>
        <v>0</v>
      </c>
      <c r="N26" s="279">
        <f>ROUND(VLOOKUP($E26,'BDEW-Standard'!$B$3:$M$158,N$9,0),7)</f>
        <v>0</v>
      </c>
      <c r="O26" s="279">
        <f>ROUND(VLOOKUP($E26,'BDEW-Standard'!$B$3:$M$158,O$9,0),7)</f>
        <v>0</v>
      </c>
      <c r="P26" s="279">
        <f>ROUND(VLOOKUP($E26,'BDEW-Standard'!$B$3:$M$158,P$9,0),7)</f>
        <v>0</v>
      </c>
      <c r="Q26" s="281">
        <f t="shared" si="1"/>
        <v>1.0804258319686442</v>
      </c>
      <c r="R26" s="282">
        <f>ROUND(VLOOKUP(MID($E26,4,3),'Wochentag F(WT)'!$B$7:$J$22,R$9,0),4)</f>
        <v>1.2457</v>
      </c>
      <c r="S26" s="282">
        <f>ROUND(VLOOKUP(MID($E26,4,3),'Wochentag F(WT)'!$B$7:$J$22,S$9,0),4)</f>
        <v>1.2615000000000001</v>
      </c>
      <c r="T26" s="282">
        <f>ROUND(VLOOKUP(MID($E26,4,3),'Wochentag F(WT)'!$B$7:$J$22,T$9,0),4)</f>
        <v>1.2706999999999999</v>
      </c>
      <c r="U26" s="282">
        <f>ROUND(VLOOKUP(MID($E26,4,3),'Wochentag F(WT)'!$B$7:$J$22,U$9,0),4)</f>
        <v>1.2430000000000001</v>
      </c>
      <c r="V26" s="282">
        <f>ROUND(VLOOKUP(MID($E26,4,3),'Wochentag F(WT)'!$B$7:$J$22,V$9,0),4)</f>
        <v>1.1275999999999999</v>
      </c>
      <c r="W26" s="282">
        <f>ROUND(VLOOKUP(MID($E26,4,3),'Wochentag F(WT)'!$B$7:$J$22,W$9,0),4)</f>
        <v>0.38769999999999999</v>
      </c>
      <c r="X26" s="283">
        <f t="shared" si="2"/>
        <v>0.46379999999999999</v>
      </c>
      <c r="Y26" s="304"/>
      <c r="Z26" s="213"/>
    </row>
    <row r="27" spans="2:26" s="144" customFormat="1" hidden="1">
      <c r="B27" s="145">
        <v>16</v>
      </c>
      <c r="C27" s="146" t="str">
        <f t="shared" si="0"/>
        <v>Gasnetz Vlotho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 hidden="1">
      <c r="B28" s="145">
        <v>17</v>
      </c>
      <c r="C28" s="146" t="str">
        <f t="shared" si="0"/>
        <v>Gasnetz Vlotho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 hidden="1">
      <c r="B29" s="145">
        <v>18</v>
      </c>
      <c r="C29" s="146" t="str">
        <f t="shared" si="0"/>
        <v>Gasnetz Vlotho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 hidden="1">
      <c r="B30" s="145">
        <v>19</v>
      </c>
      <c r="C30" s="146" t="str">
        <f t="shared" si="0"/>
        <v>Gasnetz Vlotho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 hidden="1">
      <c r="B31" s="145">
        <v>20</v>
      </c>
      <c r="C31" s="146" t="str">
        <f t="shared" si="0"/>
        <v>Gasnetz Vlotho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 hidden="1">
      <c r="B32" s="145">
        <v>21</v>
      </c>
      <c r="C32" s="146" t="str">
        <f t="shared" si="0"/>
        <v>Gasnetz Vlotho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 hidden="1">
      <c r="B33" s="145">
        <v>22</v>
      </c>
      <c r="C33" s="146" t="str">
        <f t="shared" si="0"/>
        <v>Gasnetz Vlotho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 hidden="1">
      <c r="B34" s="145">
        <v>23</v>
      </c>
      <c r="C34" s="146" t="str">
        <f t="shared" si="0"/>
        <v>Gasnetz Vlotho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 hidden="1">
      <c r="B35" s="145">
        <v>24</v>
      </c>
      <c r="C35" s="146" t="str">
        <f t="shared" si="0"/>
        <v>Gasnetz Vlotho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 hidden="1">
      <c r="B36" s="145">
        <v>25</v>
      </c>
      <c r="C36" s="146" t="str">
        <f t="shared" si="0"/>
        <v>Gasnetz Vlotho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 hidden="1">
      <c r="B37" s="145">
        <v>26</v>
      </c>
      <c r="C37" s="146" t="str">
        <f t="shared" si="0"/>
        <v>Gasnetz Vlotho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 hidden="1">
      <c r="B38" s="145">
        <v>27</v>
      </c>
      <c r="C38" s="146" t="str">
        <f t="shared" si="0"/>
        <v>Gasnetz Vlotho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 hidden="1">
      <c r="B39" s="145">
        <v>28</v>
      </c>
      <c r="C39" s="146" t="str">
        <f t="shared" si="0"/>
        <v>Gasnetz Vlotho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 hidden="1">
      <c r="B40" s="145">
        <v>29</v>
      </c>
      <c r="C40" s="146" t="str">
        <f t="shared" si="0"/>
        <v>Gasnetz Vlotho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 hidden="1">
      <c r="B41" s="145">
        <v>30</v>
      </c>
      <c r="C41" s="146" t="str">
        <f t="shared" si="0"/>
        <v>Gasnetz Vlotho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9"/>
    <col min="4" max="4" width="19.88671875" style="129" customWidth="1"/>
    <col min="5" max="9" width="16" style="129" customWidth="1"/>
    <col min="10" max="10" width="15.109375" style="129" customWidth="1"/>
    <col min="11" max="12" width="16" style="129" customWidth="1"/>
    <col min="13" max="13" width="15.33203125" style="129" customWidth="1"/>
    <col min="14" max="16384" width="11.441406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6.4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C3" sqref="C3"/>
    </sheetView>
  </sheetViews>
  <sheetFormatPr baseColWidth="10" defaultColWidth="0" defaultRowHeight="13.2" zeroHeight="1"/>
  <cols>
    <col min="1" max="1" width="2.88671875" style="76" customWidth="1"/>
    <col min="2" max="2" width="15.109375" style="76" customWidth="1"/>
    <col min="3" max="3" width="20.33203125" style="76" customWidth="1"/>
    <col min="4" max="4" width="5.88671875" style="76" hidden="1" customWidth="1"/>
    <col min="5" max="5" width="5.109375" style="76" customWidth="1"/>
    <col min="6" max="12" width="12.6640625" style="76" customWidth="1"/>
    <col min="13" max="30" width="5.664062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Vlotho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88" t="s">
        <v>441</v>
      </c>
      <c r="C5" s="65" t="str">
        <f>Netzbetreiber!D28</f>
        <v>Gasnetz Vlotho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6" t="s">
        <v>439</v>
      </c>
      <c r="C6" s="355">
        <f>Netzbetreiber!$D$11</f>
        <v>9870101400008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133</v>
      </c>
      <c r="C7" s="59">
        <f>Netzbetreiber!$D$6</f>
        <v>44835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9" t="s">
        <v>455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4" t="s">
        <v>583</v>
      </c>
      <c r="C10" s="365"/>
      <c r="D10" s="95">
        <v>2</v>
      </c>
      <c r="E10" s="96" t="str">
        <f>IF(ISERROR(HLOOKUP(E$11,$M$9:$AD$35,$D10,0)),"",HLOOKUP(E$11,$M$9:$AD$35,$D10,0))</f>
        <v/>
      </c>
      <c r="F10" s="362" t="s">
        <v>395</v>
      </c>
      <c r="G10" s="362"/>
      <c r="H10" s="362"/>
      <c r="I10" s="362"/>
      <c r="J10" s="362"/>
      <c r="K10" s="362"/>
      <c r="L10" s="363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4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4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4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4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4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4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4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4.4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4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4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4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4.4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4.4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4.4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4.4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4.4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4.4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4.4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4.4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4.4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4.4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4.4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8" customWidth="1"/>
    <col min="2" max="2" width="7" style="259" customWidth="1"/>
    <col min="3" max="3" width="27.6640625" style="238" customWidth="1"/>
    <col min="4" max="10" width="8.88671875" style="238" customWidth="1"/>
    <col min="11" max="14" width="11.44140625" style="238" customWidth="1"/>
    <col min="15" max="15" width="12.33203125" style="129" customWidth="1"/>
    <col min="16" max="16" width="16.5546875" style="238" customWidth="1"/>
    <col min="17" max="16384" width="11.441406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6" t="s">
        <v>249</v>
      </c>
      <c r="B3" s="239" t="s">
        <v>86</v>
      </c>
      <c r="C3" s="240"/>
      <c r="D3" s="368" t="s">
        <v>454</v>
      </c>
      <c r="E3" s="369"/>
      <c r="F3" s="369"/>
      <c r="G3" s="369"/>
      <c r="H3" s="369"/>
      <c r="I3" s="369"/>
      <c r="J3" s="370"/>
      <c r="K3" s="241"/>
      <c r="L3" s="241"/>
      <c r="M3" s="241"/>
      <c r="N3" s="241"/>
      <c r="O3" s="242"/>
      <c r="P3" s="241"/>
    </row>
    <row r="4" spans="1:16" ht="20.100000000000001" customHeight="1">
      <c r="A4" s="367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9.6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6.4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Schröder, Marion (Stadt Vlotho)</cp:lastModifiedBy>
  <cp:lastPrinted>2015-03-20T22:59:10Z</cp:lastPrinted>
  <dcterms:created xsi:type="dcterms:W3CDTF">2015-01-15T05:25:41Z</dcterms:created>
  <dcterms:modified xsi:type="dcterms:W3CDTF">2022-06-29T09:01:59Z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